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7795" windowHeight="12405" tabRatio="847"/>
  </bookViews>
  <sheets>
    <sheet name="Cover Page" sheetId="1" r:id="rId1"/>
    <sheet name="Table of Contents" sheetId="42" r:id="rId2"/>
    <sheet name="General Instructions" sheetId="2" r:id="rId3"/>
    <sheet name="Definitions" sheetId="3" r:id="rId4"/>
    <sheet name="Respondent Profile" sheetId="66" r:id="rId5"/>
    <sheet name="1a" sheetId="4" r:id="rId6"/>
    <sheet name="1b" sheetId="6" r:id="rId7"/>
    <sheet name="1c" sheetId="67" r:id="rId8"/>
    <sheet name="2" sheetId="25" r:id="rId9"/>
    <sheet name="3a" sheetId="15" r:id="rId10"/>
    <sheet name="3b" sheetId="20" r:id="rId11"/>
    <sheet name="4a" sheetId="32" r:id="rId12"/>
    <sheet name="4b" sheetId="65" r:id="rId13"/>
    <sheet name="5a" sheetId="8" r:id="rId14"/>
    <sheet name="5b" sheetId="69" r:id="rId15"/>
    <sheet name="5c" sheetId="50" r:id="rId16"/>
    <sheet name="5d" sheetId="52" r:id="rId17"/>
    <sheet name="5e" sheetId="54" r:id="rId18"/>
    <sheet name="6a" sheetId="53" r:id="rId19"/>
    <sheet name="6b" sheetId="55" r:id="rId20"/>
    <sheet name="6c" sheetId="56" r:id="rId21"/>
    <sheet name="6d" sheetId="68" r:id="rId22"/>
    <sheet name="7" sheetId="16" r:id="rId23"/>
    <sheet name="8" sheetId="11" r:id="rId24"/>
    <sheet name="9a" sheetId="26" r:id="rId25"/>
    <sheet name="9b" sheetId="57" r:id="rId26"/>
    <sheet name="10" sheetId="62" r:id="rId27"/>
    <sheet name="11a" sheetId="51" r:id="rId28"/>
    <sheet name="11b" sheetId="58" r:id="rId29"/>
    <sheet name="12a" sheetId="59" r:id="rId30"/>
    <sheet name="12b" sheetId="60" r:id="rId31"/>
    <sheet name="12c" sheetId="61" r:id="rId32"/>
    <sheet name="13a" sheetId="63" r:id="rId33"/>
    <sheet name="13b" sheetId="64" r:id="rId34"/>
    <sheet name="14" sheetId="10" r:id="rId35"/>
    <sheet name="15" sheetId="41" r:id="rId36"/>
    <sheet name="Lists" sheetId="49" state="hidden" r:id="rId37"/>
    <sheet name="D-RP-1" sheetId="70" state="hidden" r:id="rId38"/>
    <sheet name="D-1bA (Pivot)" sheetId="71" state="hidden" r:id="rId39"/>
    <sheet name="D-2 (Pivot)" sheetId="72" state="hidden" r:id="rId40"/>
    <sheet name="D-3" sheetId="73" state="hidden" r:id="rId41"/>
    <sheet name="D-3 (Pivot)" sheetId="74" state="hidden" r:id="rId42"/>
    <sheet name="D-4" sheetId="75" state="hidden" r:id="rId43"/>
    <sheet name="D-4a (Pivot)" sheetId="76" state="hidden" r:id="rId44"/>
    <sheet name="D-5a-e (Pivot)" sheetId="77" state="hidden" r:id="rId45"/>
    <sheet name="D-5aDE (Pivot)" sheetId="78" state="hidden" r:id="rId46"/>
    <sheet name="D-5bA (Pivot)" sheetId="80" state="hidden" r:id="rId47"/>
    <sheet name="D-5cA (Pivot)" sheetId="81" state="hidden" r:id="rId48"/>
    <sheet name="D-5a-e" sheetId="79" state="hidden" r:id="rId49"/>
    <sheet name="D-6a (Pivot)" sheetId="82" state="hidden" r:id="rId50"/>
    <sheet name="D-6cA (Pivot)" sheetId="84" state="hidden" r:id="rId51"/>
    <sheet name="D-6b-d" sheetId="83" state="hidden" r:id="rId52"/>
    <sheet name="D-7 (Pivot)" sheetId="85" state="hidden" r:id="rId53"/>
    <sheet name="D-8 (Pivot)" sheetId="86" state="hidden" r:id="rId54"/>
    <sheet name="D-Ratios (Pivot)" sheetId="87" state="hidden" r:id="rId55"/>
    <sheet name="D-Risk" sheetId="88" state="hidden" r:id="rId56"/>
    <sheet name="D-9a (Pivot)" sheetId="89" state="hidden" r:id="rId57"/>
    <sheet name="D-9b" sheetId="90" state="hidden" r:id="rId58"/>
    <sheet name="D-10 (Pivot)" sheetId="91" state="hidden" r:id="rId59"/>
    <sheet name="D-10B-11" sheetId="92" state="hidden" r:id="rId60"/>
    <sheet name="D-11aA (Pivot)" sheetId="93" state="hidden" r:id="rId61"/>
    <sheet name="D-11aB-11bB (Pivot)" sheetId="94" state="hidden" r:id="rId62"/>
    <sheet name="D-12" sheetId="95" state="hidden" r:id="rId63"/>
    <sheet name="D-13" sheetId="96" state="hidden" r:id="rId64"/>
    <sheet name="D-14A (Pivot)" sheetId="97" state="hidden" r:id="rId65"/>
    <sheet name="D-14B-15" sheetId="98" state="hidden" r:id="rId66"/>
  </sheets>
  <externalReferences>
    <externalReference r:id="rId67"/>
  </externalReferences>
  <definedNames>
    <definedName name="_xlnm._FilterDatabase" localSheetId="11" hidden="1">'4a'!$C$14:$F$36</definedName>
    <definedName name="AllAgencies">Lists!$AA$2:$AA$25</definedName>
    <definedName name="Bottleneck">Lists!$W$2:$W$12</definedName>
    <definedName name="BusinessImpact">Lists!$BA$2:$BA$5</definedName>
    <definedName name="CapExFuture">Lists!$AV$2:$AV$6</definedName>
    <definedName name="Change">Lists!$AR$2:$AR$5</definedName>
    <definedName name="CompAdv">Lists!$T$2:$T$9</definedName>
    <definedName name="Confidence">Lists!$AS$2:$AS$5</definedName>
    <definedName name="ConsolFactors">Lists!$AZ$2:$AZ$10</definedName>
    <definedName name="Counterfeit">Lists!$BC$2:$BC$5</definedName>
    <definedName name="Country">Lists!$J$2:$J$242</definedName>
    <definedName name="CurrFut">Lists!$E$2:$E$5</definedName>
    <definedName name="CustomerType">Lists!$AF$2:$AF$6</definedName>
    <definedName name="DepLevel">Lists!$AX$2:$AX$6</definedName>
    <definedName name="DiffWorkforce">Lists!$AJ$2:$AJ$5</definedName>
    <definedName name="EndUse">Lists!$P$2:$P$5</definedName>
    <definedName name="EqConcern">Lists!$AU$2:$AU$9</definedName>
    <definedName name="EstComp">'15'!$AB$18</definedName>
    <definedName name="ExportControl">Lists!$X$2:$X$7</definedName>
    <definedName name="FacilityChange">Lists!$AW$2:$AW$7</definedName>
    <definedName name="Foreign">Lists!$J$3:$J$248</definedName>
    <definedName name="FormalInform">Lists!$U$2:$U$4</definedName>
    <definedName name="HowMany">Lists!$AG$2:$AG$7</definedName>
    <definedName name="ImpactLevel">Lists!$AY$2:$AY$5</definedName>
    <definedName name="InnerLayerThickness">Lists!$AL$2:$AL$8</definedName>
    <definedName name="InspMethod">Lists!$V$2:$V$5</definedName>
    <definedName name="IntegSep">Lists!$AK$2:$AK$4</definedName>
    <definedName name="InvMeth">Lists!$AT$2:$AT$3</definedName>
    <definedName name="JVReason">Lists!$N$2:$N$13</definedName>
    <definedName name="Level">Lists!$AD$2:$AD$4</definedName>
    <definedName name="LocPar">Lists!$AH$2:$AH$5</definedName>
    <definedName name="MAD">Lists!$L$2:$L$4</definedName>
    <definedName name="MaxAspect1">Lists!$AO$2:$AO$6</definedName>
    <definedName name="MaxAspect2">Lists!$AP$2:$AP$9</definedName>
    <definedName name="MaxBoardThickness">Lists!$AM$2:$AM$5</definedName>
    <definedName name="NA">Lists!$AB$2:$AB$3</definedName>
    <definedName name="NetOps">Lists!$AI$2:$AI$9</definedName>
    <definedName name="Objectives">Lists!$M$2:$M$12</definedName>
    <definedName name="OrgDesc">Lists!$G$2:$G$6</definedName>
    <definedName name="OrgID">'15'!$AB$1</definedName>
    <definedName name="OtherAgency">Lists!$Z$2:$Z$13</definedName>
    <definedName name="Participation">Lists!$O$2:$O$4</definedName>
    <definedName name="PrimAdd">Lists!$K$2:$K$3</definedName>
    <definedName name="PrimaryBusOpp">Lists!$R$2:$R$6</definedName>
    <definedName name="PrimaryEndUse">Lists!$Q$2:$Q$15</definedName>
    <definedName name="_xlnm.Print_Area" localSheetId="26">'10'!$B$2:$I$28</definedName>
    <definedName name="_xlnm.Print_Area" localSheetId="27">'11a'!$B$2:$L$52</definedName>
    <definedName name="_xlnm.Print_Area" localSheetId="28">'11b'!$B$2:$M$34</definedName>
    <definedName name="_xlnm.Print_Area" localSheetId="29">'12a'!$B$2:$K$29</definedName>
    <definedName name="_xlnm.Print_Area" localSheetId="30">'12b'!$B$2:$J$31</definedName>
    <definedName name="_xlnm.Print_Area" localSheetId="31">'12c'!$B$2:$J$16</definedName>
    <definedName name="_xlnm.Print_Area" localSheetId="32">'13a'!$B$2:$J$23</definedName>
    <definedName name="_xlnm.Print_Area" localSheetId="33">'13b'!$B$2:$J$27</definedName>
    <definedName name="_xlnm.Print_Area" localSheetId="34">'14'!$B$2:$I$48</definedName>
    <definedName name="_xlnm.Print_Area" localSheetId="35">'15'!$B$2:$D$19</definedName>
    <definedName name="_xlnm.Print_Area" localSheetId="5">'1a'!$B$2:$K$28</definedName>
    <definedName name="_xlnm.Print_Area" localSheetId="6">'1b'!$B$2:$J$36</definedName>
    <definedName name="_xlnm.Print_Area" localSheetId="7">'1c'!$B$2:$J$23</definedName>
    <definedName name="_xlnm.Print_Area" localSheetId="8">'2'!$B$2:$N$35</definedName>
    <definedName name="_xlnm.Print_Area" localSheetId="9">'3a'!$B$2:$H$35</definedName>
    <definedName name="_xlnm.Print_Area" localSheetId="10">'3b'!$B$2:$M$41</definedName>
    <definedName name="_xlnm.Print_Area" localSheetId="11">'4a'!$B$2:$K$38</definedName>
    <definedName name="_xlnm.Print_Area" localSheetId="12">'4b'!$B$2:$J$24</definedName>
    <definedName name="_xlnm.Print_Area" localSheetId="13">'5a'!$B$2:$M$38</definedName>
    <definedName name="_xlnm.Print_Area" localSheetId="14">'5b'!$B$2:$N$36</definedName>
    <definedName name="_xlnm.Print_Area" localSheetId="15">'5c'!$B$2:$J$37</definedName>
    <definedName name="_xlnm.Print_Area" localSheetId="16">'5d'!$B$2:$L$38</definedName>
    <definedName name="_xlnm.Print_Area" localSheetId="17">'5e'!$B$2:$K$36</definedName>
    <definedName name="_xlnm.Print_Area" localSheetId="18">'6a'!$B$2:$N$45</definedName>
    <definedName name="_xlnm.Print_Area" localSheetId="19">'6b'!$B$2:$K$19</definedName>
    <definedName name="_xlnm.Print_Area" localSheetId="20">'6c'!$B$2:$L$39</definedName>
    <definedName name="_xlnm.Print_Area" localSheetId="21">'6d'!$B$2:$J$19</definedName>
    <definedName name="_xlnm.Print_Area" localSheetId="22">'7'!$B$2:$P$20</definedName>
    <definedName name="_xlnm.Print_Area" localSheetId="23">'8'!$B$2:$H$29</definedName>
    <definedName name="_xlnm.Print_Area" localSheetId="24">'9a'!$B$2:$I$29</definedName>
    <definedName name="_xlnm.Print_Area" localSheetId="25">'9b'!$B$2:$M$29</definedName>
    <definedName name="_xlnm.Print_Area" localSheetId="0">'Cover Page'!$B$2:$N$14</definedName>
    <definedName name="_xlnm.Print_Area" localSheetId="3">Definitions!$B$2:$K$36</definedName>
    <definedName name="_xlnm.Print_Area" localSheetId="2">'General Instructions'!$B$2:$N$12</definedName>
    <definedName name="_xlnm.Print_Area" localSheetId="4">'Respondent Profile'!$B$2:$I$10</definedName>
    <definedName name="_xlnm.Print_Area" localSheetId="1">'Table of Contents'!$B$2:$I$23</definedName>
    <definedName name="ProcMeth">Lists!$AN$2:$AN$6</definedName>
    <definedName name="ProdType">Lists!$BD$2:$BD$5</definedName>
    <definedName name="PubPriv">Lists!$F$2:$F$3</definedName>
    <definedName name="Q10_A_CapExBarePct_2012">'10'!$F$16</definedName>
    <definedName name="Q10_A_CapExBarePct_2013">'10'!$G$16</definedName>
    <definedName name="Q10_A_CapExBarePct_2014">'10'!$H$16</definedName>
    <definedName name="Q10_A_CapExBarePct_2015">'10'!$I$16</definedName>
    <definedName name="Q10_A_CapExITPct_2012">'10'!$F$11</definedName>
    <definedName name="Q10_A_CapExITPct_2013">'10'!$G$11</definedName>
    <definedName name="Q10_A_CapExITPct_2014">'10'!$H$11</definedName>
    <definedName name="Q10_A_CapExITPct_2015">'10'!$I$11</definedName>
    <definedName name="Q10_A_CapExLandPct_2012">'10'!$F$12</definedName>
    <definedName name="Q10_A_CapExLandPct_2013">'10'!$G$12</definedName>
    <definedName name="Q10_A_CapExLandPct_2014">'10'!$H$12</definedName>
    <definedName name="Q10_A_CapExLandPct_2015">'10'!$I$12</definedName>
    <definedName name="Q10_A_CapExMachPct_2012">'10'!$F$10</definedName>
    <definedName name="Q10_A_CapExMachPct_2013">'10'!$G$10</definedName>
    <definedName name="Q10_A_CapExMachPct_2014">'10'!$H$10</definedName>
    <definedName name="Q10_A_CapExMachPct_2015">'10'!$I$10</definedName>
    <definedName name="Q10_A_CapExOther1_Specify">'10'!$E$13</definedName>
    <definedName name="Q10_A_CapExOther1Pct_2012">'10'!$F$13</definedName>
    <definedName name="Q10_A_CapExOther1Pct_2013">'10'!$G$13</definedName>
    <definedName name="Q10_A_CapExOther1Pct_2014">'10'!$H$13</definedName>
    <definedName name="Q10_A_CapExOther1Pct_2015">'10'!$I$13</definedName>
    <definedName name="Q10_A_CapExOther2_Specify">'10'!$E$14</definedName>
    <definedName name="Q10_A_CapExOther2Pct_2012">'10'!$F$14</definedName>
    <definedName name="Q10_A_CapExOther2Pct_2013">'10'!$G$14</definedName>
    <definedName name="Q10_A_CapExOther2Pct_2014">'10'!$H$14</definedName>
    <definedName name="Q10_A_CapExOther2Pct_2015">'10'!$I$14</definedName>
    <definedName name="Q10_A_CapExTotal_2012">'10'!$F$9</definedName>
    <definedName name="Q10_A_CapExTotal_2013">'10'!$G$9</definedName>
    <definedName name="Q10_A_CapExTotal_2014">'10'!$H$9</definedName>
    <definedName name="Q10_A_CapExTotal_2015">'10'!$I$9</definedName>
    <definedName name="Q10_B_USGImpact_Explain">'10'!$E$18</definedName>
    <definedName name="Q10_B_USGImpact_YN">'10'!$H$17</definedName>
    <definedName name="Q10_C_Priority1_Explain">'10'!$F$21</definedName>
    <definedName name="Q10_C_Priority1_Select">'10'!$D$21</definedName>
    <definedName name="Q10_C_Priority2_Explain">'10'!$F$22</definedName>
    <definedName name="Q10_C_Priority2_Select">'10'!$D$22</definedName>
    <definedName name="Q10_C_Priority3_Explain">'10'!$F$23</definedName>
    <definedName name="Q10_C_Priority3_Select">'10'!$D$23</definedName>
    <definedName name="Q10_C_Priority4_Explain">'10'!$F$24</definedName>
    <definedName name="Q10_C_Priority4_Select">'10'!$D$24</definedName>
    <definedName name="Q10_C_Priority5_Explain">'10'!$F$25</definedName>
    <definedName name="Q10_C_Priority5_Select">'10'!$D$25</definedName>
    <definedName name="Q10_Comment">'10'!$E$26</definedName>
    <definedName name="Q10_Schedule">'10'!$F$6</definedName>
    <definedName name="Q10_Source">'10'!$F$5</definedName>
    <definedName name="Q11_Expend_Total_Year1">'[1]11'!$F$10</definedName>
    <definedName name="Q11_Expend_Total_Year2">'[1]11'!$G$10</definedName>
    <definedName name="Q11_Expend_Total_Year3">'[1]11'!$H$10</definedName>
    <definedName name="Q11_Schedule">'[1]11'!$F$7</definedName>
    <definedName name="Q11_Source">'[1]11'!$F$6</definedName>
    <definedName name="Q11a_B_Difficulty_YN">'11a'!$K$19</definedName>
    <definedName name="Q11a_C_Clearance_Explain">'11a'!$H$44</definedName>
    <definedName name="Q11a_C_Clearance_YN">'11a'!$G$44</definedName>
    <definedName name="Q11a_C_Exper_Explain">'11a'!$H$43</definedName>
    <definedName name="Q11a_C_Exper_YN">'11a'!$G$43</definedName>
    <definedName name="Q11a_C_Location_Explain">'11a'!$H$45</definedName>
    <definedName name="Q11a_C_Location_YN">'11a'!$G$45</definedName>
    <definedName name="Q11a_C_Other1_Explain">'11a'!$H$48</definedName>
    <definedName name="Q11a_C_Other1_Specify">'11a'!$E$48</definedName>
    <definedName name="Q11a_C_Other1_YN">'11a'!$G$48</definedName>
    <definedName name="Q11a_C_Other2_Explain">'11a'!$H$49</definedName>
    <definedName name="Q11a_C_Other2_Specify">'11a'!$E$49</definedName>
    <definedName name="Q11a_C_Other2_YN">'11a'!$G$49</definedName>
    <definedName name="Q11a_C_Qualified_Explain">'11a'!$H$42</definedName>
    <definedName name="Q11a_C_Qualified_YN">'11a'!$G$42</definedName>
    <definedName name="Q11a_C_Retirement_Explain">'11a'!$H$46</definedName>
    <definedName name="Q11a_C_Retirement_YN">'11a'!$G$46</definedName>
    <definedName name="Q11a_C_Turnover_Explain">'11a'!$H$47</definedName>
    <definedName name="Q11a_C_Turnover_YN">'11a'!$G$47</definedName>
    <definedName name="Q11a_C_USCitizens_Explain">'11a'!$H$41</definedName>
    <definedName name="Q11a_C_USCitizens_YN">'11a'!$G$41</definedName>
    <definedName name="Q11a_Comment">'11a'!$G$50</definedName>
    <definedName name="Q11a_FTE_AdminPct_2012">'11a'!$I$9</definedName>
    <definedName name="Q11a_FTE_AdminPct_2013">'11a'!$J$9</definedName>
    <definedName name="Q11a_FTE_AdminPct_2014">'11a'!$K$9</definedName>
    <definedName name="Q11a_FTE_AdminPct_2015">'11a'!$L$9</definedName>
    <definedName name="Q11a_FTE_FacilitiesPct_2012">'11a'!$I$11</definedName>
    <definedName name="Q11a_FTE_FacilitiesPct_2013">'11a'!$J$11</definedName>
    <definedName name="Q11a_FTE_FacilitiesPct_2014">'11a'!$K$11</definedName>
    <definedName name="Q11a_FTE_FacilitiesPct_2015">'11a'!$L$11</definedName>
    <definedName name="Q11a_FTE_ITPct_2012">'11a'!$I$12</definedName>
    <definedName name="Q11a_FTE_ITPct_2013">'11a'!$J$12</definedName>
    <definedName name="Q11a_FTE_ITPct_2014">'11a'!$K$12</definedName>
    <definedName name="Q11a_FTE_ITPct_2015">'11a'!$L$12</definedName>
    <definedName name="Q11a_FTE_Other1Pct_2012">'11a'!$I$16</definedName>
    <definedName name="Q11a_FTE_Other1Pct_2013">'11a'!$J$16</definedName>
    <definedName name="Q11a_FTE_Other1Pct_2014">'11a'!$K$16</definedName>
    <definedName name="Q11a_FTE_Other1Pct_2015">'11a'!$L$16</definedName>
    <definedName name="Q11a_FTE_Other2Pct_2012">'11a'!$I$17</definedName>
    <definedName name="Q11a_FTE_Other2Pct_2013">'11a'!$J$17</definedName>
    <definedName name="Q11a_FTE_Other2Pct_2014">'11a'!$K$17</definedName>
    <definedName name="Q11a_FTE_Other2Pct_2015">'11a'!$L$17</definedName>
    <definedName name="Q11a_FTE_ProductionPct_2012">'11a'!$I$14</definedName>
    <definedName name="Q11a_FTE_ProductionPct_2013">'11a'!$J$14</definedName>
    <definedName name="Q11a_FTE_ProductionPct_2014">'11a'!$K$14</definedName>
    <definedName name="Q11a_FTE_ProductionPct_2015">'11a'!$L$14</definedName>
    <definedName name="Q11a_FTE_QCPct_2012">'11a'!$I$15</definedName>
    <definedName name="Q11a_FTE_QCPct_2013">'11a'!$J$15</definedName>
    <definedName name="Q11a_FTE_QCPct_2014">'11a'!$K$15</definedName>
    <definedName name="Q11a_FTE_QCPct_2015">'11a'!$L$15</definedName>
    <definedName name="Q11a_FTE_SalesPct_2012">'11a'!$I$13</definedName>
    <definedName name="Q11a_FTE_SalesPct_2013">'11a'!$J$13</definedName>
    <definedName name="Q11a_FTE_SalesPct_2014">'11a'!$K$13</definedName>
    <definedName name="Q11a_FTE_SalesPct_2015">'11a'!$L$13</definedName>
    <definedName name="Q11a_FTE_SciencePct_2012">'11a'!$I$10</definedName>
    <definedName name="Q11a_FTE_SciencePct_2013">'11a'!$J$10</definedName>
    <definedName name="Q11a_FTE_SciencePct_2014">'11a'!$K$10</definedName>
    <definedName name="Q11a_FTE_SciencePct_2015">'11a'!$L$10</definedName>
    <definedName name="Q11a_FTE_Total_2012">'11a'!$I$8</definedName>
    <definedName name="Q11a_FTE_Total_2013">'11a'!$J$8</definedName>
    <definedName name="Q11a_FTE_Total_2014">'11a'!$K$8</definedName>
    <definedName name="Q11a_FTE_Total_2015">'11a'!$L$8</definedName>
    <definedName name="Q11a_Schedule">'11a'!$I$6</definedName>
    <definedName name="Q11a_Source">'11a'!$I$5</definedName>
    <definedName name="Q11b_A_Explain">'11b'!$E$6</definedName>
    <definedName name="Q11b_A_ReplacePct">'11b'!$K$5</definedName>
    <definedName name="Q11b_A_RetirePct">'11b'!$K$4</definedName>
    <definedName name="Q11b_B_11to20_Count">'11b'!$H$10</definedName>
    <definedName name="Q11b_B_11to20_PctUS">'11b'!$H$11</definedName>
    <definedName name="Q11b_B_6to10_Count">'11b'!$J$10</definedName>
    <definedName name="Q11b_B_6to10_PctUS">'11b'!$J$11</definedName>
    <definedName name="Q11b_B_Over20_Count">'11b'!$F$10</definedName>
    <definedName name="Q11b_B_Over20_PctUS">'11b'!$F$11</definedName>
    <definedName name="Q11b_B_Under5_Count">'11b'!$L$10</definedName>
    <definedName name="Q11b_B_Under5_PctUS">'11b'!$L$11</definedName>
    <definedName name="Q11b_Comment">'11b'!$E$32</definedName>
    <definedName name="Q12_COGS_Year1">'[1]12'!$E$10</definedName>
    <definedName name="Q12_COGS_Year2">'[1]12'!$F$10</definedName>
    <definedName name="Q12_COGS_Year3">'[1]12'!$G$10</definedName>
    <definedName name="Q12_CurrentAssets_Year1">'[1]12'!$E$20</definedName>
    <definedName name="Q12_CurrentAssets_Year2">'[1]12'!$F$20</definedName>
    <definedName name="Q12_CurrentAssets_Year3">'[1]12'!$G$20</definedName>
    <definedName name="Q12_CurrentLiab_Year1">'[1]12'!$E$22</definedName>
    <definedName name="Q12_CurrentLiab_Year2">'[1]12'!$F$22</definedName>
    <definedName name="Q12_CurrentLiab_Year3">'[1]12'!$G$22</definedName>
    <definedName name="Q12_EBIT_Year1">'[1]12'!$E$12</definedName>
    <definedName name="Q12_EBIT_Year2">'[1]12'!$F$12</definedName>
    <definedName name="Q12_EBIT_Year3">'[1]12'!$G$12</definedName>
    <definedName name="Q12_Inv_Year1">'[1]12'!$E$19</definedName>
    <definedName name="Q12_Inv_Year2">'[1]12'!$F$19</definedName>
    <definedName name="Q12_Inv_Year3">'[1]12'!$G$19</definedName>
    <definedName name="Q12_NetInc_Year1">'[1]12'!$E$13</definedName>
    <definedName name="Q12_NetInc_Year2">'[1]12'!$F$13</definedName>
    <definedName name="Q12_NetInc_Year3">'[1]12'!$G$13</definedName>
    <definedName name="Q12_NetSales_Year1">'[1]12'!$E$9</definedName>
    <definedName name="Q12_NetSales_Year2">'[1]12'!$F$9</definedName>
    <definedName name="Q12_NetSales_Year3">'[1]12'!$G$9</definedName>
    <definedName name="Q12_OpInc_Year1">'[1]12'!$E$11</definedName>
    <definedName name="Q12_OpInc_Year2">'[1]12'!$F$11</definedName>
    <definedName name="Q12_OpInc_Year3">'[1]12'!$G$11</definedName>
    <definedName name="Q12_OwnersEq_Year1">'[1]12'!$E$25</definedName>
    <definedName name="Q12_OwnersEq_Year2">'[1]12'!$F$25</definedName>
    <definedName name="Q12_OwnersEq_Year3">'[1]12'!$G$25</definedName>
    <definedName name="Q12_RetainedEarn_Year1">'[1]12'!$E$24</definedName>
    <definedName name="Q12_RetainedEarn_Year2">'[1]12'!$F$24</definedName>
    <definedName name="Q12_RetainedEarn_Year3">'[1]12'!$G$24</definedName>
    <definedName name="Q12_Source_Balance">'[1]12'!$E$14</definedName>
    <definedName name="Q12_Source_Income">'[1]12'!$E$5</definedName>
    <definedName name="Q12_TotalAssets_Year1">'[1]12'!$E$21</definedName>
    <definedName name="Q12_TotalAssets_Year2">'[1]12'!$F$21</definedName>
    <definedName name="Q12_TotalAssets_Year3">'[1]12'!$G$21</definedName>
    <definedName name="Q12_TotalLiab_Year1">'[1]12'!$E$23</definedName>
    <definedName name="Q12_TotalLiab_Year2">'[1]12'!$F$23</definedName>
    <definedName name="Q12_TotalLiab_Year3">'[1]12'!$G$23</definedName>
    <definedName name="Q12a_A_OpsChange_Explain">'12a'!$E$5</definedName>
    <definedName name="Q12a_A_OpsChange_Type">'12a'!$I$4</definedName>
    <definedName name="Q12a_B1_EnviroAffect_Explain">'12a'!$E$7</definedName>
    <definedName name="Q12a_B1_EnviroAffect_YN">'12a'!$J$6</definedName>
    <definedName name="Q12a_B2_CeaseTL_Explain">'12a'!$H$9</definedName>
    <definedName name="Q12a_B2_CeaseTL_Year">'12a'!$F$9</definedName>
    <definedName name="Q12a_B2_CeaseTL_YN">'12a'!$J$8</definedName>
    <definedName name="Q12a_B3_EnviroInventory_Explain">'12a'!$E$11</definedName>
    <definedName name="Q12a_B3_EnviroInventory_YN">'12a'!$J$10</definedName>
    <definedName name="Q12a_C_Infreq_Cease">'12a'!$G$18</definedName>
    <definedName name="Q12a_C_Infreq_Explain">'12a'!$H$18</definedName>
    <definedName name="Q12a_C_Infreq_Reduce">'12a'!$F$18</definedName>
    <definedName name="Q12a_C_IP_Cease">'12a'!$G$19</definedName>
    <definedName name="Q12a_C_IP_Explain">'12a'!$H$19</definedName>
    <definedName name="Q12a_C_IP_Reduce">'12a'!$F$19</definedName>
    <definedName name="Q12a_C_LowMargin_Cease">'12a'!$G$17</definedName>
    <definedName name="Q12a_C_LowMargin_Explain">'12a'!$H$17</definedName>
    <definedName name="Q12a_C_LowMargin_Reduce">'12a'!$F$17</definedName>
    <definedName name="Q12a_C_OneOff_Cease">'12a'!$G$20</definedName>
    <definedName name="Q12a_C_OneOff_Explain">'12a'!$H$20</definedName>
    <definedName name="Q12a_C_OneOff_Reduce">'12a'!$F$20</definedName>
    <definedName name="Q12a_C_Other_Cease">'12a'!$G$21</definedName>
    <definedName name="Q12a_C_Other_Explain">'12a'!$H$21</definedName>
    <definedName name="Q12a_C_Other_Reduce">'12a'!$F$21</definedName>
    <definedName name="Q12a_C_Other_Specify">'12a'!$E$21</definedName>
    <definedName name="Q12a_C_Paperwork_Cease">'12a'!$G$14</definedName>
    <definedName name="Q12a_C_Paperwork_Explain">'12a'!$H$14</definedName>
    <definedName name="Q12a_C_Paperwork_Reduce">'12a'!$F$14</definedName>
    <definedName name="Q12a_C_SlowPay_Cease">'12a'!$G$15</definedName>
    <definedName name="Q12a_C_SlowPay_Explain">'12a'!$H$15</definedName>
    <definedName name="Q12a_C_SlowPay_Reduce">'12a'!$F$15</definedName>
    <definedName name="Q12a_C_SmallLot_Cease">'12a'!$G$16</definedName>
    <definedName name="Q12a_C_SmallLot_Explain">'12a'!$H$16</definedName>
    <definedName name="Q12a_C_SmallLot_Reduce">'12a'!$F$16</definedName>
    <definedName name="Q12a_Comment">'12a'!$E$27</definedName>
    <definedName name="Q12a_D_Admin_50884">'12a'!$F$26</definedName>
    <definedName name="Q12a_D_Admin_6012">'12a'!$G$26</definedName>
    <definedName name="Q12a_D_Admin_Explain">'12a'!$H$26</definedName>
    <definedName name="Q12a_D_Direct_50884">'12a'!$F$24</definedName>
    <definedName name="Q12a_D_Direct_6012">'12a'!$G$24</definedName>
    <definedName name="Q12a_D_Direct_Explain">'12a'!$H$24</definedName>
    <definedName name="Q12a_D_Recurring_50884">'12a'!$F$25</definedName>
    <definedName name="Q12a_D_Recurring_6012">'12a'!$G$25</definedName>
    <definedName name="Q12a_D_Recurring_Explain">'12a'!$H$25</definedName>
    <definedName name="Q12b_A_DepComm_Explain">'12b'!$D$5</definedName>
    <definedName name="Q12b_A_DepComm_Extent">'12b'!$I$4</definedName>
    <definedName name="Q12b_A_DepUSG_Extent">'12b'!$I$6</definedName>
    <definedName name="Q12b_A_ROI_Comm">'12b'!$I$9</definedName>
    <definedName name="Q12b_A_ROI_Def">'12b'!$I$8</definedName>
    <definedName name="Q12b_A_ROI_Explain">'12b'!$D$10</definedName>
    <definedName name="Q12b_B_Consol_Factor_Explain">'12b'!$D$13</definedName>
    <definedName name="Q12b_B_Consol_Factor1">'12b'!$G$12</definedName>
    <definedName name="Q12b_B_Consol_Factor2">'12b'!$I$12</definedName>
    <definedName name="Q12b_B_Consol_Foreign">'12b'!$I$14</definedName>
    <definedName name="Q12b_B_Consol_Foreign_Explain">'12b'!$D$15</definedName>
    <definedName name="Q12b_B_Consol_Level">'12b'!$I$11</definedName>
    <definedName name="Q12b_C_DependNonUS_Explain">'12b'!$F$19</definedName>
    <definedName name="Q12b_C_DependNonUS_YN">'12b'!$E$19</definedName>
    <definedName name="Q12b_C_FewerUS_Explain">'12b'!$F$18</definedName>
    <definedName name="Q12b_C_FewerUS_YN">'12b'!$E$18</definedName>
    <definedName name="Q12b_C_MatCosts_Explain">'12b'!$F$20</definedName>
    <definedName name="Q12b_C_MatCosts_YN">'12b'!$E$20</definedName>
    <definedName name="Q12b_C_NonUSShare_Explain">'12b'!$F$25</definedName>
    <definedName name="Q12b_C_NonUSShare_YN">'12b'!$E$25</definedName>
    <definedName name="Q12b_C_Other1_Explain">'12b'!$F$27</definedName>
    <definedName name="Q12b_C_Other1_Specify">'12b'!$D$27</definedName>
    <definedName name="Q12b_C_Other1_YN">'12b'!$E$27</definedName>
    <definedName name="Q12b_C_Other2_Explain">'12b'!$F$28</definedName>
    <definedName name="Q12b_C_Other2_Specify">'12b'!$D$28</definedName>
    <definedName name="Q12b_C_Other2_YN">'12b'!$E$28</definedName>
    <definedName name="Q12b_C_Prices_Explain">'12b'!$F$26</definedName>
    <definedName name="Q12b_C_Prices_YN">'12b'!$E$26</definedName>
    <definedName name="Q12b_C_Pricing_Explain">'12b'!$F$21</definedName>
    <definedName name="Q12b_C_Pricing_YN">'12b'!$E$21</definedName>
    <definedName name="Q12b_C_ReducedUS_Explain">'12b'!$F$23</definedName>
    <definedName name="Q12b_C_ReducedUS_YN">'12b'!$E$23</definedName>
    <definedName name="Q12b_C_SmallTrouble_Explain">'12b'!$F$22</definedName>
    <definedName name="Q12b_C_SmallTrouble_YN">'12b'!$E$22</definedName>
    <definedName name="Q12b_C_Workforce_Explain">'12b'!$F$24</definedName>
    <definedName name="Q12b_C_Workforce_YN">'12b'!$E$24</definedName>
    <definedName name="Q12b_Comment">'12b'!$D$29</definedName>
    <definedName name="Q12c_Comment">'12c'!$D$14</definedName>
    <definedName name="Q12c_Funding_Explain">'12c'!$G$6</definedName>
    <definedName name="Q12c_Funding_Impact">'12c'!$F$6</definedName>
    <definedName name="Q12c_Other1_Explain">'12c'!$G$12</definedName>
    <definedName name="Q12c_Other1_Impact">'12c'!$F$12</definedName>
    <definedName name="Q12c_Other1_Specify">'12c'!$D$12</definedName>
    <definedName name="Q12c_Other2_Explain">'12c'!$G$13</definedName>
    <definedName name="Q12c_Other2_Impact">'12c'!$F$13</definedName>
    <definedName name="Q12c_Other2_Specify">'12c'!$D$13</definedName>
    <definedName name="Q12c_QMLQPL_Explain">'12c'!$G$11</definedName>
    <definedName name="Q12c_QMLQPL_Impact">'12c'!$F$11</definedName>
    <definedName name="Q12c_Stockpile_Explain">'12c'!$G$8</definedName>
    <definedName name="Q12c_Stockpile_Impact">'12c'!$F$8</definedName>
    <definedName name="Q12c_Trusted_Explain">'12c'!$G$10</definedName>
    <definedName name="Q12c_Trusted_Impact">'12c'!$F$10</definedName>
    <definedName name="Q12c_USMade_Explain">'12c'!$G$7</definedName>
    <definedName name="Q12c_USMade_Impact">'12c'!$F$7</definedName>
    <definedName name="Q12c_USMaterial_Explain">'12c'!$G$9</definedName>
    <definedName name="Q12c_USMaterial_Impact">'12c'!$F$9</definedName>
    <definedName name="Q13a_A_Connect_YN">'13a'!$H$5</definedName>
    <definedName name="Q13a_B_ExternalIT">'13a'!$H$7</definedName>
    <definedName name="Q13a_B_InternalIT">'13a'!$H$6</definedName>
    <definedName name="Q13a_C_Client_Explain">'13a'!$G$10</definedName>
    <definedName name="Q13a_C_Client_YN">'13a'!$F$10</definedName>
    <definedName name="Q13a_C_ExportControl_Explain">'13a'!$G$13</definedName>
    <definedName name="Q13a_C_ExportControl_YN">'13a'!$F$13</definedName>
    <definedName name="Q13a_C_Financial_Explain">'13a'!$G$11</definedName>
    <definedName name="Q13a_C_Financial_YN">'13a'!$F$11</definedName>
    <definedName name="Q13a_C_HR_Explain">'13a'!$G$12</definedName>
    <definedName name="Q13a_C_HR_YN">'13a'!$F$12</definedName>
    <definedName name="Q13a_C_Internal_Explain">'13a'!$G$15</definedName>
    <definedName name="Q13a_C_Internal_YN">'13a'!$F$15</definedName>
    <definedName name="Q13a_C_IP_Explain">'13a'!$G$14</definedName>
    <definedName name="Q13a_C_IP_YN">'13a'!$F$14</definedName>
    <definedName name="Q13a_C_Patent_Explain">'13a'!$G$17</definedName>
    <definedName name="Q13a_C_Patent_YN">'13a'!$F$17</definedName>
    <definedName name="Q13a_C_Production_Explain">'13a'!$G$16</definedName>
    <definedName name="Q13a_C_Production_YN">'13a'!$F$16</definedName>
    <definedName name="Q13a_C_RD_Explain">'13a'!$G$19</definedName>
    <definedName name="Q13a_C_RD_YN">'13a'!$F$19</definedName>
    <definedName name="Q13a_C_Regulatory_Explain">'13a'!$G$18</definedName>
    <definedName name="Q13a_C_Regulatory_YN">'13a'!$F$18</definedName>
    <definedName name="Q13a_C_Sourcing_Explain">'13a'!$G$20</definedName>
    <definedName name="Q13a_C_Sourcing_YN">'13a'!$F$20</definedName>
    <definedName name="Q13a_Comment">'13a'!$D$21</definedName>
    <definedName name="Q13b_A_IncreaseBudget_YN">'13b'!$J$4</definedName>
    <definedName name="Q13b_B_Cloud_Pct">'13b'!$J$5</definedName>
    <definedName name="Q13b_B_External_Pct">'13b'!$J$6</definedName>
    <definedName name="Q13b_B_ProhibitNonUS">'13b'!$J$7</definedName>
    <definedName name="Q13b_C_Business_Explain">'13b'!$H$14</definedName>
    <definedName name="Q13b_C_Business_Impact">'13b'!$G$14</definedName>
    <definedName name="Q13b_C_Cost_Explain">'13b'!$H$13</definedName>
    <definedName name="Q13b_C_Cost_Impact">'13b'!$G$13</definedName>
    <definedName name="Q13b_C_Disrupt_Explain">'13b'!$H$11</definedName>
    <definedName name="Q13b_C_Disrupt_Impact">'13b'!$G$11</definedName>
    <definedName name="Q13b_C_Exfiltr_Explain">'13b'!$H$15</definedName>
    <definedName name="Q13b_C_Exfiltr_Impact">'13b'!$G$15</definedName>
    <definedName name="Q13b_C_Idle_Explain">'13b'!$H$10</definedName>
    <definedName name="Q13b_C_Idle_Impact">'13b'!$G$10</definedName>
    <definedName name="Q13b_C_InfoDestroy_Explain">'13b'!$H$20</definedName>
    <definedName name="Q13b_C_InfoDestroy_Impact">'13b'!$G$20</definedName>
    <definedName name="Q13b_C_ITDamage_Explain">'13b'!$H$12</definedName>
    <definedName name="Q13b_C_ITDamage_Impact">'13b'!$G$12</definedName>
    <definedName name="Q13b_C_Other1_Explain">'13b'!$H$22</definedName>
    <definedName name="Q13b_C_Other1_Impact">'13b'!$G$22</definedName>
    <definedName name="Q13b_C_Other1_Specify">'13b'!$E$22</definedName>
    <definedName name="Q13b_C_Other2_Explain">'13b'!$H$23</definedName>
    <definedName name="Q13b_C_Other2_Impact">'13b'!$G$23</definedName>
    <definedName name="Q13b_C_Other2_Specify">'13b'!$E$23</definedName>
    <definedName name="Q13b_C_Other3_Explain">'13b'!$H$24</definedName>
    <definedName name="Q13b_C_Other3_Impact">'13b'!$G$24</definedName>
    <definedName name="Q13b_C_Other3_Specify">'13b'!$E$24</definedName>
    <definedName name="Q13b_C_Personnel_Explain">'13b'!$H$16</definedName>
    <definedName name="Q13b_C_Personnel_Impact">'13b'!$G$16</definedName>
    <definedName name="Q13b_C_Reputation_Explain">'13b'!$H$21</definedName>
    <definedName name="Q13b_C_Reputation_Impact">'13b'!$G$21</definedName>
    <definedName name="Q13b_C_SoftwareDamage_Explain">'13b'!$H$17</definedName>
    <definedName name="Q13b_C_SoftwareDamage_Impact">'13b'!$G$17</definedName>
    <definedName name="Q13b_C_SoftwareTheft_Explain">'13b'!$H$18</definedName>
    <definedName name="Q13b_C_SoftwareTheft_Impact">'13b'!$G$18</definedName>
    <definedName name="Q13b_C_SystemDamage_Explain">'13b'!$H$19</definedName>
    <definedName name="Q13b_C_SystemDamage_Impact">'13b'!$G$19</definedName>
    <definedName name="Q13b_Comment">'13b'!$E$26</definedName>
    <definedName name="Q14_B_Cyber">'14'!$E$38</definedName>
    <definedName name="Q14_B_DesignforAssembly">'14'!$E$39</definedName>
    <definedName name="Q14_B_DesignMfg">'14'!$E$40</definedName>
    <definedName name="Q14_B_Energy">'14'!$E$41</definedName>
    <definedName name="Q14_B_ExportAssist">'14'!$E$42</definedName>
    <definedName name="Q14_B_ExportLicense">'14'!$E$43</definedName>
    <definedName name="Q14_B_GovtProcurement">'14'!$E$44</definedName>
    <definedName name="Q14_B_LeanMfg">'14'!$E$37</definedName>
    <definedName name="Q14_B_MarketExpansion">'14'!$I$37</definedName>
    <definedName name="Q14_B_MatSourcing">'14'!$I$44</definedName>
    <definedName name="Q14_B_Other1">'14'!$E$45</definedName>
    <definedName name="Q14_B_Other1_Specify">'14'!$D$45</definedName>
    <definedName name="Q14_B_Other2">'14'!$I$45</definedName>
    <definedName name="Q14_B_Other2_Specify">'14'!$G$45</definedName>
    <definedName name="Q14_B_ProdDesign">'14'!$I$38</definedName>
    <definedName name="Q14_B_Prototyping">'14'!$I$39</definedName>
    <definedName name="Q14_B_QualityControl">'14'!$I$40</definedName>
    <definedName name="Q14_B_SBIR">'14'!$I$41</definedName>
    <definedName name="Q14_B_SupplyChain">'14'!$I$42</definedName>
    <definedName name="Q14_B_TechAccel">'14'!$I$43</definedName>
    <definedName name="Q14_Comment">'14'!$D$46</definedName>
    <definedName name="Q15_AuthEmail">'15'!$C$12</definedName>
    <definedName name="Q15_AuthName">'15'!$C$10</definedName>
    <definedName name="Q15_AuthPhone">'15'!$C$13</definedName>
    <definedName name="Q15_AuthTitle">'15'!$C$11</definedName>
    <definedName name="Q15_Comment">'15'!$B$16</definedName>
    <definedName name="Q15_DateCert">'15'!$C$14</definedName>
    <definedName name="Q15_FacilityName">'15'!$C$7</definedName>
    <definedName name="Q15_Hours">'15'!$C$17</definedName>
    <definedName name="Q15_OrgName">'15'!$C$8</definedName>
    <definedName name="Q15_OrgWebsite">'15'!$C$9</definedName>
    <definedName name="Q1a_A_OrgAddress">'1a'!$F$6</definedName>
    <definedName name="Q1a_A_OrgCAGE">'1a'!$F$12</definedName>
    <definedName name="Q1a_A_OrgCity">'1a'!$F$7</definedName>
    <definedName name="Q1a_A_OrgName">'1a'!$F$5</definedName>
    <definedName name="Q1a_A_OrgPhone">'1a'!$F$11</definedName>
    <definedName name="Q1a_A_OrgState">'1a'!$F$8</definedName>
    <definedName name="Q1a_A_OrgWebsite">'1a'!$F$10</definedName>
    <definedName name="Q1a_A_OrgZip">'1a'!$F$9</definedName>
    <definedName name="Q1a_B_ParentAddress">'1a'!$F$16</definedName>
    <definedName name="Q1a_B_ParentCAGE">'1a'!$F$21</definedName>
    <definedName name="Q1a_B_ParentCity">'1a'!$F$17</definedName>
    <definedName name="Q1a_B_ParentCountry">'1a'!$F$19</definedName>
    <definedName name="Q1a_B_ParentName">'1a'!$F$15</definedName>
    <definedName name="Q1a_B_ParentState">'1a'!$F$18</definedName>
    <definedName name="Q1a_B_ParentZip">'1a'!$F$20</definedName>
    <definedName name="Q1a_C_PubPriv">'1a'!$G$22</definedName>
    <definedName name="Q1a_C_Ticker">'1a'!$K$22</definedName>
    <definedName name="Q1a_Comment">'1a'!$E$26</definedName>
    <definedName name="Q1a_D_POCEmail">'1a'!$I$25</definedName>
    <definedName name="Q1a_D_POCName">'1a'!$C$25</definedName>
    <definedName name="Q1a_D_POCPhone">'1a'!$G$25</definedName>
    <definedName name="Q1a_D_POCState">'1a'!$K$25</definedName>
    <definedName name="Q1a_D_POCTitle">'1a'!$F$25</definedName>
    <definedName name="Q1b_Comment">'1b'!$E$34</definedName>
    <definedName name="Q1b_D_8a">'1b'!$I$29</definedName>
    <definedName name="Q1b_D_HUBZone">'1b'!$I$30</definedName>
    <definedName name="Q1b_D_Minority">'1b'!$I$31</definedName>
    <definedName name="Q1b_D_SmallBus">'1b'!$I$28</definedName>
    <definedName name="Q1b_D_Vet">'1b'!$I$33</definedName>
    <definedName name="Q1b_D_Woman">'1b'!$I$32</definedName>
    <definedName name="Q1c_A_CommercialPct">'1c'!$I$4</definedName>
    <definedName name="Q1c_A_DefensePct">'1c'!$I$5</definedName>
    <definedName name="Q1c_B_Comm_Aero_Pct">'1c'!$F$9</definedName>
    <definedName name="Q1c_B_Comm_Auto_Pct">'1c'!$F$10</definedName>
    <definedName name="Q1c_B_Comm_Comm_Pct">'1c'!$F$11</definedName>
    <definedName name="Q1c_B_Comm_Comp_Pct">'1c'!$F$12</definedName>
    <definedName name="Q1c_B_Comm_Consumer_Pct">'1c'!$F$13</definedName>
    <definedName name="Q1c_B_Comm_Elec_Pct">'1c'!$J$9</definedName>
    <definedName name="Q1c_B_Comm_Marine_Pct">'1c'!$J$11</definedName>
    <definedName name="Q1c_B_Comm_Med_Pct">'1c'!$J$10</definedName>
    <definedName name="Q1c_B_Comm_Other_Pct">'1c'!$J$13</definedName>
    <definedName name="Q1c_B_Comm_Other_Specify">'1c'!$H$13</definedName>
    <definedName name="Q1c_B_Comm_Space_Pct">'1c'!$J$12</definedName>
    <definedName name="Q1c_C_Def_Aero_Pct">'1c'!$F$17</definedName>
    <definedName name="Q1c_C_Def_C4_Pct">'1c'!$F$18</definedName>
    <definedName name="Q1c_C_Def_Elec_Pct">'1c'!$F$19</definedName>
    <definedName name="Q1c_C_Def_Marine_Pct">'1c'!$J$18</definedName>
    <definedName name="Q1c_C_Def_Missile_Pct">'1c'!$J$17</definedName>
    <definedName name="Q1c_C_Def_Other_Pct">'1c'!$J$20</definedName>
    <definedName name="Q1c_C_Def_Other_Specify">'1c'!$H$20</definedName>
    <definedName name="Q1c_C_Def_Space_Pct">'1c'!$J$19</definedName>
    <definedName name="Q1c_C_Def_Vehic_Pct">'1c'!$F$20</definedName>
    <definedName name="Q1c_Comment">'1c'!$E$21</definedName>
    <definedName name="Q2_A_JV_Num">'2'!$I$14</definedName>
    <definedName name="Q2_A_MAD_Num">'2'!$I$5</definedName>
    <definedName name="Q2_A_Org01_Country">'[1]2'!$G$8</definedName>
    <definedName name="Q2_A_Org01_Explain">'[1]2'!$M$8</definedName>
    <definedName name="Q2_A_Org01_Name">'[1]2'!$D$8</definedName>
    <definedName name="Q2_A_Org01_Obj">'[1]2'!$I$8</definedName>
    <definedName name="Q2_A_Org01_Type">'[1]2'!$F$8</definedName>
    <definedName name="Q2_A_Org01_Year">'[1]2'!$H$8</definedName>
    <definedName name="Q2_A_Org02_Country">'[1]2'!$G$9</definedName>
    <definedName name="Q2_A_Org02_Explain">'[1]2'!$M$9</definedName>
    <definedName name="Q2_A_Org02_Name">'[1]2'!$D$9</definedName>
    <definedName name="Q2_A_Org02_Obj">'[1]2'!$I$9</definedName>
    <definedName name="Q2_A_Org02_Type">'[1]2'!$F$9</definedName>
    <definedName name="Q2_A_Org02_Year">'[1]2'!$H$9</definedName>
    <definedName name="Q2_A_Org03_Country">'[1]2'!$G$10</definedName>
    <definedName name="Q2_A_Org03_Explain">'[1]2'!$M$10</definedName>
    <definedName name="Q2_A_Org03_Name">'[1]2'!$D$10</definedName>
    <definedName name="Q2_A_Org03_Obj">'[1]2'!$I$10</definedName>
    <definedName name="Q2_A_Org03_Type">'[1]2'!$F$10</definedName>
    <definedName name="Q2_A_Org03_Year">'[1]2'!$H$10</definedName>
    <definedName name="Q2_A_Org04_Country">'[1]2'!$G$11</definedName>
    <definedName name="Q2_A_Org04_Explain">'[1]2'!$M$11</definedName>
    <definedName name="Q2_A_Org04_Name">'[1]2'!$D$11</definedName>
    <definedName name="Q2_A_Org04_Obj">'[1]2'!$I$11</definedName>
    <definedName name="Q2_A_Org04_Type">'[1]2'!$F$11</definedName>
    <definedName name="Q2_A_Org04_Year">'[1]2'!$H$11</definedName>
    <definedName name="Q2_A_Org05_Country">'[1]2'!$G$12</definedName>
    <definedName name="Q2_A_Org05_Explain">'[1]2'!$M$12</definedName>
    <definedName name="Q2_A_Org05_Name">'[1]2'!$D$12</definedName>
    <definedName name="Q2_A_Org05_Obj">'[1]2'!$I$12</definedName>
    <definedName name="Q2_A_Org05_Type">'[1]2'!$F$12</definedName>
    <definedName name="Q2_A_Org05_Year">'[1]2'!$H$12</definedName>
    <definedName name="Q2_A_Org06_Country">'[1]2'!$G$13</definedName>
    <definedName name="Q2_A_Org06_Explain">'[1]2'!$M$13</definedName>
    <definedName name="Q2_A_Org06_Name">'[1]2'!$D$13</definedName>
    <definedName name="Q2_A_Org06_Obj">'[1]2'!$I$13</definedName>
    <definedName name="Q2_A_Org06_Type">'[1]2'!$F$13</definedName>
    <definedName name="Q2_A_Org06_Year">'[1]2'!$H$13</definedName>
    <definedName name="Q2_A_Org07_Country">'[1]2'!$G$14</definedName>
    <definedName name="Q2_A_Org07_Explain">'[1]2'!$M$14</definedName>
    <definedName name="Q2_A_Org07_Name">'[1]2'!$D$14</definedName>
    <definedName name="Q2_A_Org07_Obj">'[1]2'!$I$14</definedName>
    <definedName name="Q2_A_Org07_Type">'[1]2'!$F$14</definedName>
    <definedName name="Q2_A_Org07_Year">'[1]2'!$H$14</definedName>
    <definedName name="Q2_A_Org08_Country">'[1]2'!$G$15</definedName>
    <definedName name="Q2_A_Org08_Explain">'[1]2'!$M$15</definedName>
    <definedName name="Q2_A_Org08_Name">'[1]2'!$D$15</definedName>
    <definedName name="Q2_A_Org08_Obj">'[1]2'!$I$15</definedName>
    <definedName name="Q2_A_Org08_Type">'[1]2'!$F$15</definedName>
    <definedName name="Q2_A_Org08_Year">'[1]2'!$H$15</definedName>
    <definedName name="Q2_A_Org09_Country">'[1]2'!$G$16</definedName>
    <definedName name="Q2_A_Org09_Explain">'[1]2'!$M$16</definedName>
    <definedName name="Q2_A_Org09_Name">'[1]2'!$D$16</definedName>
    <definedName name="Q2_A_Org09_Obj">'[1]2'!$I$16</definedName>
    <definedName name="Q2_A_Org09_Type">'[1]2'!$F$16</definedName>
    <definedName name="Q2_A_Org09_Year">'[1]2'!$H$16</definedName>
    <definedName name="Q2_A_Org10_Country">'[1]2'!$G$17</definedName>
    <definedName name="Q2_A_Org10_Explain">'[1]2'!$M$17</definedName>
    <definedName name="Q2_A_Org10_Name">'[1]2'!$D$17</definedName>
    <definedName name="Q2_A_Org10_Obj">'[1]2'!$I$17</definedName>
    <definedName name="Q2_A_Org10_Type">'[1]2'!$F$17</definedName>
    <definedName name="Q2_A_Org10_Year">'[1]2'!$H$17</definedName>
    <definedName name="Q2_A_TotalAcq">'[1]2'!$K$5</definedName>
    <definedName name="Q2_B_JV_Org01_Country">'[1]2'!$F$22</definedName>
    <definedName name="Q2_B_JV_Org01_Explain">'[1]2'!$M$22</definedName>
    <definedName name="Q2_B_JV_Org01_Name">'[1]2'!$D$22</definedName>
    <definedName name="Q2_B_JV_Org01_Purpose">'[1]2'!$I$22</definedName>
    <definedName name="Q2_B_JV_Org01_Year">'[1]2'!$H$22</definedName>
    <definedName name="Q2_B_JV_Org02_Country">'[1]2'!$F$23</definedName>
    <definedName name="Q2_B_JV_Org02_Explain">'[1]2'!$M$23</definedName>
    <definedName name="Q2_B_JV_Org02_Name">'[1]2'!$D$23</definedName>
    <definedName name="Q2_B_JV_Org02_Purpose">'[1]2'!$I$23</definedName>
    <definedName name="Q2_B_JV_Org02_Year">'[1]2'!$H$23</definedName>
    <definedName name="Q2_B_JV_Org03_Country">'[1]2'!$F$24</definedName>
    <definedName name="Q2_B_JV_Org03_Explain">'[1]2'!$M$24</definedName>
    <definedName name="Q2_B_JV_Org03_Name">'[1]2'!$D$24</definedName>
    <definedName name="Q2_B_JV_Org03_Purpose">'[1]2'!$I$24</definedName>
    <definedName name="Q2_B_JV_Org03_Year">'[1]2'!$H$24</definedName>
    <definedName name="Q2_B_JV_Org04_Country">'[1]2'!$F$25</definedName>
    <definedName name="Q2_B_JV_Org04_Explain">'[1]2'!$M$25</definedName>
    <definedName name="Q2_B_JV_Org04_Name">'[1]2'!$D$25</definedName>
    <definedName name="Q2_B_JV_Org04_Purpose">'[1]2'!$I$25</definedName>
    <definedName name="Q2_B_JV_Org04_Year">'[1]2'!$H$25</definedName>
    <definedName name="Q2_B_JV_Org05_Country">'[1]2'!$F$26</definedName>
    <definedName name="Q2_B_JV_Org05_Explain">'[1]2'!$M$26</definedName>
    <definedName name="Q2_B_JV_Org05_Name">'[1]2'!$D$26</definedName>
    <definedName name="Q2_B_JV_Org05_Purpose">'[1]2'!$I$26</definedName>
    <definedName name="Q2_B_JV_Org05_Year">'[1]2'!$H$26</definedName>
    <definedName name="Q2_B_JV_Org06_Country">'[1]2'!$F$27</definedName>
    <definedName name="Q2_B_JV_Org06_Explain">'[1]2'!$M$27</definedName>
    <definedName name="Q2_B_JV_Org06_Name">'[1]2'!$D$27</definedName>
    <definedName name="Q2_B_JV_Org06_Purpose">'[1]2'!$I$27</definedName>
    <definedName name="Q2_B_JV_Org06_Year">'[1]2'!$H$27</definedName>
    <definedName name="Q2_B_JV_Org07_Country">'[1]2'!$F$28</definedName>
    <definedName name="Q2_B_JV_Org07_Explain">'[1]2'!$M$28</definedName>
    <definedName name="Q2_B_JV_Org07_Name">'[1]2'!$D$28</definedName>
    <definedName name="Q2_B_JV_Org07_Purpose">'[1]2'!$I$28</definedName>
    <definedName name="Q2_B_JV_Org07_Year">'[1]2'!$H$28</definedName>
    <definedName name="Q2_B_JV_Org08_Country">'[1]2'!$F$29</definedName>
    <definedName name="Q2_B_JV_Org08_Explain">'[1]2'!$M$29</definedName>
    <definedName name="Q2_B_JV_Org08_Name">'[1]2'!$D$29</definedName>
    <definedName name="Q2_B_JV_Org08_Purpose">'[1]2'!$I$29</definedName>
    <definedName name="Q2_B_JV_Org08_Year">'[1]2'!$H$29</definedName>
    <definedName name="Q2_B_JV_Org09_Country">'[1]2'!$F$30</definedName>
    <definedName name="Q2_B_JV_Org09_Explain">'[1]2'!$M$30</definedName>
    <definedName name="Q2_B_JV_Org09_Name">'[1]2'!$D$30</definedName>
    <definedName name="Q2_B_JV_Org09_Purpose">'[1]2'!$I$30</definedName>
    <definedName name="Q2_B_JV_Org09_Year">'[1]2'!$H$30</definedName>
    <definedName name="Q2_B_JV_Org10_Country">'[1]2'!$F$31</definedName>
    <definedName name="Q2_B_JV_Org10_Explain">'[1]2'!$M$31</definedName>
    <definedName name="Q2_B_JV_Org10_Name">'[1]2'!$D$31</definedName>
    <definedName name="Q2_B_JV_Org10_Purpose">'[1]2'!$I$31</definedName>
    <definedName name="Q2_B_JV_Org10_Year">'[1]2'!$H$31</definedName>
    <definedName name="Q2_B_JV_Org11_Country">'[1]2'!$F$32</definedName>
    <definedName name="Q2_B_JV_Org11_Explain">'[1]2'!$M$32</definedName>
    <definedName name="Q2_B_JV_Org11_Name">'[1]2'!$D$32</definedName>
    <definedName name="Q2_B_JV_Org11_Purpose">'[1]2'!$I$32</definedName>
    <definedName name="Q2_B_JV_Org11_Year">'[1]2'!$H$32</definedName>
    <definedName name="Q2_B_JV_Org12_Country">'[1]2'!$F$33</definedName>
    <definedName name="Q2_B_JV_Org12_Explain">'[1]2'!$M$33</definedName>
    <definedName name="Q2_B_JV_Org12_Name">'[1]2'!$D$33</definedName>
    <definedName name="Q2_B_JV_Org12_Purpose">'[1]2'!$I$33</definedName>
    <definedName name="Q2_B_JV_Org12_Year">'[1]2'!$H$33</definedName>
    <definedName name="Q2_B_JV_Org13_Country">'[1]2'!$F$34</definedName>
    <definedName name="Q2_B_JV_Org13_Explain">'[1]2'!$M$34</definedName>
    <definedName name="Q2_B_JV_Org13_Name">'[1]2'!$D$34</definedName>
    <definedName name="Q2_B_JV_Org13_Purpose">'[1]2'!$I$34</definedName>
    <definedName name="Q2_B_JV_Org13_Year">'[1]2'!$H$34</definedName>
    <definedName name="Q2_B_JV_Org14_Country">'[1]2'!$F$35</definedName>
    <definedName name="Q2_B_JV_Org14_Explain">'[1]2'!$M$35</definedName>
    <definedName name="Q2_B_JV_Org14_Name">'[1]2'!$D$35</definedName>
    <definedName name="Q2_B_JV_Org14_Purpose">'[1]2'!$I$35</definedName>
    <definedName name="Q2_B_JV_Org14_Year">'[1]2'!$H$35</definedName>
    <definedName name="Q2_B_JV_Org15_Country">'[1]2'!$F$36</definedName>
    <definedName name="Q2_B_JV_Org15_Explain">'[1]2'!$M$36</definedName>
    <definedName name="Q2_B_JV_Org15_Name">'[1]2'!$D$36</definedName>
    <definedName name="Q2_B_JV_Org15_Purpose">'[1]2'!$I$36</definedName>
    <definedName name="Q2_B_JV_Org15_Year">'[1]2'!$H$36</definedName>
    <definedName name="Q2_B_TotalJV">'[1]2'!$K$19</definedName>
    <definedName name="Q2_Comment">'2'!$E$32</definedName>
    <definedName name="Q3a_A_BusOp_Explain">'3a'!$D$5</definedName>
    <definedName name="Q3a_A_BusOp_Method">'3a'!$G$4</definedName>
    <definedName name="Q3a_B_Reject_Busy_Explain">'3a'!$F$14</definedName>
    <definedName name="Q3a_B_Reject_Busy_YN">'3a'!$E$14</definedName>
    <definedName name="Q3a_B_Reject_Complex_Explain">'3a'!$F$12</definedName>
    <definedName name="Q3a_B_Reject_Complex_YN">'3a'!$E$12</definedName>
    <definedName name="Q3a_B_Reject_Credit_Explain">'3a'!$F$13</definedName>
    <definedName name="Q3a_B_Reject_Credit_YN">'3a'!$E$13</definedName>
    <definedName name="Q3a_B_Reject_DollarRecur_Explain">'3a'!$F$11</definedName>
    <definedName name="Q3a_B_Reject_DollarRecur_YN">'3a'!$E$11</definedName>
    <definedName name="Q3a_B_Reject_Freq_Explain">'3a'!$F$9</definedName>
    <definedName name="Q3a_B_Reject_Freq_YN">'3a'!$E$9</definedName>
    <definedName name="Q3a_B_Reject_Other_Explain">'3a'!$F$15</definedName>
    <definedName name="Q3a_B_Reject_Other_Specify">'3a'!$D$15</definedName>
    <definedName name="Q3a_B_Reject_Other_YN">'3a'!$E$15</definedName>
    <definedName name="Q3a_B_Reject_RunSize_Explain">'3a'!$F$8</definedName>
    <definedName name="Q3a_B_Reject_RunSize_YN">'3a'!$E$8</definedName>
    <definedName name="Q3a_B_Reject_Value_Explain">'3a'!$F$10</definedName>
    <definedName name="Q3a_B_Reject_Value_YN">'3a'!$E$10</definedName>
    <definedName name="Q3a_Comment">'3a'!$D$33</definedName>
    <definedName name="Q3b_A_Cost_Explain">'3b'!$G$19</definedName>
    <definedName name="Q3b_A_Cost_Loc">'3b'!$F$19</definedName>
    <definedName name="Q3b_A_Enviro_Explain">'3b'!$G$7</definedName>
    <definedName name="Q3b_A_Enviro_Loc">'3b'!$F$7</definedName>
    <definedName name="Q3b_A_Equip_Explain">'3b'!$G$9</definedName>
    <definedName name="Q3b_A_Equip_Loc">'3b'!$F$9</definedName>
    <definedName name="Q3b_A_Export_Explain">'3b'!$G$13</definedName>
    <definedName name="Q3b_A_Export_Loc">'3b'!$F$13</definedName>
    <definedName name="Q3b_A_Labor_Explain">'3b'!$G$6</definedName>
    <definedName name="Q3b_A_Labor_Loc">'3b'!$F$6</definedName>
    <definedName name="Q3b_A_Material_Explain">'3b'!$G$8</definedName>
    <definedName name="Q3b_A_Material_Loc">'3b'!$F$8</definedName>
    <definedName name="Q3b_A_Other1_Explain">'3b'!$G$22</definedName>
    <definedName name="Q3b_A_Other1_Loc">'3b'!$F$22</definedName>
    <definedName name="Q3b_A_Other1_Specify">'3b'!$E$22</definedName>
    <definedName name="Q3b_A_Other2_Explain">'3b'!$G$23</definedName>
    <definedName name="Q3b_A_Other2_Loc">'3b'!$F$23</definedName>
    <definedName name="Q3b_A_Other2_Specify">'3b'!$E$23</definedName>
    <definedName name="Q3b_A_Perform_Explain">'3b'!$G$16</definedName>
    <definedName name="Q3b_A_Perform_Loc">'3b'!$F$16</definedName>
    <definedName name="Q3b_A_Price_Explain">'3b'!$G$14</definedName>
    <definedName name="Q3b_A_Price_Loc">'3b'!$F$14</definedName>
    <definedName name="Q3b_A_Quality_Explain">'3b'!$G$15</definedName>
    <definedName name="Q3b_A_Quality_Loc">'3b'!$F$15</definedName>
    <definedName name="Q3b_A_RD_Explain">'3b'!$G$11</definedName>
    <definedName name="Q3b_A_RD_Loc">'3b'!$F$11</definedName>
    <definedName name="Q3b_A_Safety_Explain">'3b'!$G$20</definedName>
    <definedName name="Q3b_A_Safety_Loc">'3b'!$F$20</definedName>
    <definedName name="Q3b_A_Skilled_Explain">'3b'!$G$12</definedName>
    <definedName name="Q3b_A_Skilled_Loc">'3b'!$F$12</definedName>
    <definedName name="Q3b_A_Space_Explain">'3b'!$G$10</definedName>
    <definedName name="Q3b_A_Space_Loc">'3b'!$F$10</definedName>
    <definedName name="Q3b_A_Time_Explain">'3b'!$G$17</definedName>
    <definedName name="Q3b_A_Time_Loc">'3b'!$F$17</definedName>
    <definedName name="Q3b_A_Variability_Explain">'3b'!$G$18</definedName>
    <definedName name="Q3b_A_Variability_Loc">'3b'!$F$18</definedName>
    <definedName name="Q3b_A_Yield_Explain">'3b'!$G$21</definedName>
    <definedName name="Q3b_A_Yield_Loc">'3b'!$F$21</definedName>
    <definedName name="Q3b_Comment">'3b'!$E$39</definedName>
    <definedName name="Q3g_Dependent_YN">'[1]3g'!$F$5</definedName>
    <definedName name="Q4a_A_Army">'4a'!$D$7</definedName>
    <definedName name="Q4a_A_DHS">'4a'!$F$6</definedName>
    <definedName name="Q4a_A_DOE">'4a'!$F$9</definedName>
    <definedName name="Q4a_A_Intel">'4a'!$D$10</definedName>
    <definedName name="Q4a_A_Marines">'4a'!$D$9</definedName>
    <definedName name="Q4a_A_MDA">'4a'!$F$10</definedName>
    <definedName name="Q4a_A_NASA">'4a'!$F$7</definedName>
    <definedName name="Q4a_A_Navy">'4a'!$D$8</definedName>
    <definedName name="Q4a_A_NOAA">'4a'!$F$8</definedName>
    <definedName name="Q4a_A_Other1">'4a'!$J$6</definedName>
    <definedName name="Q4a_A_Other1_Specify">'4a'!$H$6</definedName>
    <definedName name="Q4a_A_Other2">'4a'!$J$7</definedName>
    <definedName name="Q4a_A_Other2_Specify">'4a'!$H$7</definedName>
    <definedName name="Q4a_A_Other3">'4a'!$J$8</definedName>
    <definedName name="Q4a_A_Other3_Specify">'4a'!$H$8</definedName>
    <definedName name="Q4a_A_Other4">'4a'!$J$9</definedName>
    <definedName name="Q4a_A_Other4_Specify">'4a'!$H$9</definedName>
    <definedName name="Q4a_A_Other5">'4a'!$J$10</definedName>
    <definedName name="Q4a_A_Other5_Specify">'4a'!$H$10</definedName>
    <definedName name="Q4a_A_USAF">'4a'!$D$6</definedName>
    <definedName name="Q4a_B_TotalUSGSupport">'4a'!$J$12</definedName>
    <definedName name="Q4a_Comment">'4a'!$D$36</definedName>
    <definedName name="Q4b_A_DepUSG_Explain">'4b'!$D$5</definedName>
    <definedName name="Q4b_A_DepUSG_YN">'4b'!$I$4</definedName>
    <definedName name="Q4b_A_Integration">'4b'!$I$6</definedName>
    <definedName name="Q4b_A_Integration_Explain">'4b'!$D$7</definedName>
    <definedName name="Q4b_B_CapEx_Decrease">'4b'!$F$10</definedName>
    <definedName name="Q4b_B_CapEx_Explain">'4b'!$H$10</definedName>
    <definedName name="Q4b_B_CapEx_Increase">'4b'!$G$10</definedName>
    <definedName name="Q4b_B_Costs_Decrease">'4b'!$F$13</definedName>
    <definedName name="Q4b_B_Costs_Explain">'4b'!$H$13</definedName>
    <definedName name="Q4b_B_Costs_Increase">'4b'!$G$13</definedName>
    <definedName name="Q4b_B_Equipment_Decrease">'4b'!$F$18</definedName>
    <definedName name="Q4b_B_Equipment_Explain">'4b'!$H$18</definedName>
    <definedName name="Q4b_B_Equipment_Increase">'4b'!$G$18</definedName>
    <definedName name="Q4b_B_Move_Decrease">'4b'!$F$19</definedName>
    <definedName name="Q4b_B_Move_Explain">'4b'!$H$19</definedName>
    <definedName name="Q4b_B_Move_Increase">'4b'!$G$19</definedName>
    <definedName name="Q4b_B_NonUS_Decrease">'4b'!$F$17</definedName>
    <definedName name="Q4b_B_NonUS_Explain">'4b'!$H$17</definedName>
    <definedName name="Q4b_B_NonUS_Increase">'4b'!$G$17</definedName>
    <definedName name="Q4b_B_Number_Decrease">'4b'!$F$16</definedName>
    <definedName name="Q4b_B_Number_Explain">'4b'!$H$16</definedName>
    <definedName name="Q4b_B_Number_Increase">'4b'!$G$16</definedName>
    <definedName name="Q4b_B_Other1_Decrease">'4b'!$F$20</definedName>
    <definedName name="Q4b_B_Other1_Explain">'4b'!$H$20</definedName>
    <definedName name="Q4b_B_Other1_Increase">'4b'!$G$20</definedName>
    <definedName name="Q4b_B_Other1_Specify">'4b'!$D$20</definedName>
    <definedName name="Q4b_B_Other2_Decrease">'4b'!$F$21</definedName>
    <definedName name="Q4b_B_Other2_Explain">'4b'!$H$21</definedName>
    <definedName name="Q4b_B_Other2_Increase">'4b'!$G$21</definedName>
    <definedName name="Q4b_B_Other2_Specify">'4b'!$D$21</definedName>
    <definedName name="Q4b_B_RD_Decrease">'4b'!$F$11</definedName>
    <definedName name="Q4b_B_RD_Explain">'4b'!$H$11</definedName>
    <definedName name="Q4b_B_RD_Increase">'4b'!$G$11</definedName>
    <definedName name="Q4b_B_Skills_Decrease">'4b'!$F$15</definedName>
    <definedName name="Q4b_B_Skills_Explain">'4b'!$H$15</definedName>
    <definedName name="Q4b_B_Skills_Increase">'4b'!$G$15</definedName>
    <definedName name="Q4b_B_USG_Decrease">'4b'!$F$12</definedName>
    <definedName name="Q4b_B_USG_Explain">'4b'!$H$12</definedName>
    <definedName name="Q4b_B_USG_Increase">'4b'!$G$12</definedName>
    <definedName name="Q4b_B_Viability_Decrease">'4b'!$F$14</definedName>
    <definedName name="Q4b_B_Viability_Explain">'4b'!$H$14</definedName>
    <definedName name="Q4b_B_Viability_Increase">'4b'!$G$14</definedName>
    <definedName name="Q4b_Comment">'4b'!$D$22</definedName>
    <definedName name="Q5a_B_MaxLayer">'5a'!$M$18</definedName>
    <definedName name="Q5a_B_MinLayer">'5a'!$G$18</definedName>
    <definedName name="Q5a_C_PE_Activities">'5a'!$H$20</definedName>
    <definedName name="Q5a_C_PE_Activities_Explain">'5a'!$J$20</definedName>
    <definedName name="Q5a_C_PE_Sectors">'5a'!$H$21</definedName>
    <definedName name="Q5a_C_PE_Sectors_Explain">'5a'!$J$21</definedName>
    <definedName name="Q5a_C_PE_YN">'5a'!$G$19</definedName>
    <definedName name="Q5a_Comment">'5a'!$E$36</definedName>
    <definedName name="Q5a_Flex_Conv_LeadFree_YN">'5a'!$L$11</definedName>
    <definedName name="Q5a_Flex_Conv_TL_YN">'5a'!$J$11</definedName>
    <definedName name="Q5a_Flex_HF_LeadFree_YN">'5a'!$L$14</definedName>
    <definedName name="Q5a_Flex_HF_TL_YN">'5a'!$J$14</definedName>
    <definedName name="Q5a_Flex_HS_LeadFree_YN">'5a'!$L$13</definedName>
    <definedName name="Q5a_Flex_HS_TL_YN">'5a'!$J$13</definedName>
    <definedName name="Q5a_Flex_Micro_LeadFree_YN">'5a'!$L$15</definedName>
    <definedName name="Q5a_Flex_Micro_TL_YN">'5a'!$J$15</definedName>
    <definedName name="Q5a_Flex_Multi_LeadFree_YN">'5a'!$L$12</definedName>
    <definedName name="Q5a_Flex_Multi_TL_YN">'5a'!$J$12</definedName>
    <definedName name="Q5a_ICSub_LeadFree_YN">'5a'!$L$17</definedName>
    <definedName name="Q5a_ICSub_TL_YN">'5a'!$J$17</definedName>
    <definedName name="Q5a_RigFlex_LeadFree_YN">'5a'!$L$16</definedName>
    <definedName name="Q5a_RigFlex_TL_YN">'5a'!$J$16</definedName>
    <definedName name="Q5a_Rigid_Conv_LeadFree_YN">'5a'!$L$6</definedName>
    <definedName name="Q5a_Rigid_Conv_TL_YN">'5a'!$J$6</definedName>
    <definedName name="Q5a_Rigid_HF_LeadFree_YN">'5a'!$L$9</definedName>
    <definedName name="Q5a_Rigid_HF_TL_YN">'5a'!$J$9</definedName>
    <definedName name="Q5a_Rigid_HS_LeadFree_YN">'5a'!$L$8</definedName>
    <definedName name="Q5a_Rigid_HS_TL_YN">'5a'!$J$8</definedName>
    <definedName name="Q5a_Rigid_Micro_LeadFree_YN">'5a'!$L$10</definedName>
    <definedName name="Q5a_Rigid_Micro_YN">'5a'!$J$10</definedName>
    <definedName name="Q5a_Rigid_Multi_LeadFree_YN">'5a'!$L$7</definedName>
    <definedName name="Q5a_Rigid_Multi_TL_YN">'5a'!$J$7</definedName>
    <definedName name="Q5b_A_Additive_Capable">'5b'!$G$11</definedName>
    <definedName name="Q5b_A_Additive_Use">'5b'!$H$11</definedName>
    <definedName name="Q5b_A_Direct_Capable">'5b'!$G$7</definedName>
    <definedName name="Q5b_A_Direct_Use">'5b'!$H$7</definedName>
    <definedName name="Q5b_A_DirectMetal_Capable">'5b'!$M$9</definedName>
    <definedName name="Q5b_A_DirectMetal_Use">'5b'!$N$9</definedName>
    <definedName name="Q5b_A_Drill_Capable">'5b'!$G$9</definedName>
    <definedName name="Q5b_A_Drill_Use">'5b'!$H$9</definedName>
    <definedName name="Q5b_A_DryFilm_Capable">'5b'!$M$13</definedName>
    <definedName name="Q5b_A_DryFilm_Use">'5b'!$N$13</definedName>
    <definedName name="Q5b_A_Electroless_Capable">'5b'!$M$7</definedName>
    <definedName name="Q5b_A_Electroless_Use">'5b'!$N$7</definedName>
    <definedName name="Q5b_A_Electrolytic_Capable">'5b'!$M$8</definedName>
    <definedName name="Q5b_A_Electrolytic_Use">'5b'!$N$8</definedName>
    <definedName name="Q5b_A_Embed_Capable">'5b'!$G$13</definedName>
    <definedName name="Q5b_A_Embed_Use">'5b'!$H$13</definedName>
    <definedName name="Q5b_A_HotAirLeadFree_Capable">'5b'!$M$11</definedName>
    <definedName name="Q5b_A_HotAirLeadFree_Use">'5b'!$N$11</definedName>
    <definedName name="Q5b_A_HotAirTL_Capable">'5b'!$M$10</definedName>
    <definedName name="Q5b_A_HotAirTL_Use">'5b'!$N$10</definedName>
    <definedName name="Q5b_A_Laser_Capable">'5b'!$G$10</definedName>
    <definedName name="Q5b_A_Laser_Use">'5b'!$H$10</definedName>
    <definedName name="Q5b_A_LPI_Capable">'5b'!$M$12</definedName>
    <definedName name="Q5b_A_LPI_Use">'5b'!$N$12</definedName>
    <definedName name="Q5b_A_Opto_Capable">'5b'!$G$14</definedName>
    <definedName name="Q5b_A_Opto_Use">'5b'!$H$14</definedName>
    <definedName name="Q5b_A_Other_Capable">'5b'!$M$14</definedName>
    <definedName name="Q5b_A_Other_Specify">'5b'!$K$14</definedName>
    <definedName name="Q5b_A_Other_Use">'5b'!$N$14</definedName>
    <definedName name="Q5b_A_Photo_Capable">'5b'!$G$6</definedName>
    <definedName name="Q5b_A_Photo_Use">'5b'!$H$6</definedName>
    <definedName name="Q5b_A_Screen_Capable">'5b'!$G$8</definedName>
    <definedName name="Q5b_A_Screen_Use">'5b'!$H$8</definedName>
    <definedName name="Q5b_A_Thermal_Capable">'5b'!$M$6</definedName>
    <definedName name="Q5b_A_Thermal_Use">'5b'!$N$6</definedName>
    <definedName name="Q5b_A_ZAxis_Capable">'5b'!$G$12</definedName>
    <definedName name="Q5b_A_ZAxis_Use">'5b'!$H$12</definedName>
    <definedName name="Q5b_B_Max_Imped">'5b'!$F$19</definedName>
    <definedName name="Q5b_B_Max_Imped_Explain">'5b'!$G$19</definedName>
    <definedName name="Q5b_B_Max_Lamin">'5b'!$F$18</definedName>
    <definedName name="Q5b_B_Max_Lamin_Explain">'5b'!$G$18</definedName>
    <definedName name="Q5b_B_Max_Layers">'5b'!$F$17</definedName>
    <definedName name="Q5b_B_Max_Layers_Explain">'5b'!$G$17</definedName>
    <definedName name="Q5b_B_Max_Stacked">'5b'!$F$20</definedName>
    <definedName name="Q5b_B_Max_Stacked_Explain">'5b'!$G$20</definedName>
    <definedName name="Q5b_B_Max_Staggered">'5b'!$F$21</definedName>
    <definedName name="Q5b_B_Max_Staggered_Explain">'5b'!$G$21</definedName>
    <definedName name="Q5b_C_ViaFill_Facility_Explain">'5b'!$I$24</definedName>
    <definedName name="Q5b_C_ViaFill_Facility_Process">'5b'!$G$24</definedName>
    <definedName name="Q5b_C_ViaFill_Facility_YN">'5b'!$F$24</definedName>
    <definedName name="Q5b_C_ViaFill_OtherNonUS_Explain">'5b'!$I$28</definedName>
    <definedName name="Q5b_C_ViaFill_OtherNonUS_Process">'5b'!$G$28</definedName>
    <definedName name="Q5b_C_ViaFill_OtherNonUS_YN">'5b'!$F$28</definedName>
    <definedName name="Q5b_C_ViaFill_OtherUS_Explain">'5b'!$I$27</definedName>
    <definedName name="Q5b_C_ViaFill_OtherUS_Process">'5b'!$G$27</definedName>
    <definedName name="Q5b_C_ViaFill_OtherUS_YN">'5b'!$F$27</definedName>
    <definedName name="Q5b_C_ViaFill_OwnNonUS_Explain">'5b'!$I$26</definedName>
    <definedName name="Q5b_C_ViaFill_OwnNonUS_Process">'5b'!$G$26</definedName>
    <definedName name="Q5b_C_ViaFill_OwnNonUS_YN">'5b'!$F$26</definedName>
    <definedName name="Q5b_C_ViaFill_OwnUS_Explain">'5b'!$I$25</definedName>
    <definedName name="Q5b_C_ViaFill_OwnUS_Process">'5b'!$G$25</definedName>
    <definedName name="Q5b_C_ViaFill_OwnUS_YN">'5b'!$F$25</definedName>
    <definedName name="Q5b_Comment">'5b'!$E$34</definedName>
    <definedName name="Q5b_D_ChemSmear">'5b'!$F$32</definedName>
    <definedName name="Q5b_D_Drill_Controlled">'5b'!$N$33</definedName>
    <definedName name="Q5b_D_Drill_Laser">'5b'!$N$31</definedName>
    <definedName name="Q5b_D_Drill_Through">'5b'!$N$32</definedName>
    <definedName name="Q5b_D_Etchback">'5b'!$F$31</definedName>
    <definedName name="Q5b_D_Laser">'5b'!$I$32</definedName>
    <definedName name="Q5b_D_Nonconduct">'5b'!$I$33</definedName>
    <definedName name="Q5b_D_Plasma">'5b'!$I$31</definedName>
    <definedName name="Q5b_D_SolidCopper">'5b'!$F$33</definedName>
    <definedName name="Q5c_A_1071_Explain">'5c'!$F$12</definedName>
    <definedName name="Q5c_A_1071_Use">'5c'!$E$12</definedName>
    <definedName name="Q5c_A_31032_Explain">'5c'!$F$8</definedName>
    <definedName name="Q5c_A_31032_Use">'5c'!$E$8</definedName>
    <definedName name="Q5c_A_50884_Explain">'5c'!$F$7</definedName>
    <definedName name="Q5c_A_50884_Use">'5c'!$E$7</definedName>
    <definedName name="Q5c_A_55110_Explain">'5c'!$F$6</definedName>
    <definedName name="Q5c_A_55110_Use">'5c'!$E$6</definedName>
    <definedName name="Q5c_A_6011_Explain">'5c'!$F$13</definedName>
    <definedName name="Q5c_A_6011_Use">'5c'!$E$13</definedName>
    <definedName name="Q5c_A_6012_Explain">'5c'!$F$14</definedName>
    <definedName name="Q5c_A_6012_Use">'5c'!$E$14</definedName>
    <definedName name="Q5c_A_6013_Explain">'5c'!$F$15</definedName>
    <definedName name="Q5c_A_6013_Use">'5c'!$E$15</definedName>
    <definedName name="Q5c_A_6015_Explain">'5c'!$F$16</definedName>
    <definedName name="Q5c_A_6015_Use">'5c'!$E$16</definedName>
    <definedName name="Q5c_A_6016_Explain">'5c'!$F$17</definedName>
    <definedName name="Q5c_A_6016_Use">'5c'!$E$17</definedName>
    <definedName name="Q5c_A_6017_Explain">'5c'!$F$18</definedName>
    <definedName name="Q5c_A_6017_Use">'5c'!$E$18</definedName>
    <definedName name="Q5c_A_6018_Explain">'5c'!$F$19</definedName>
    <definedName name="Q5c_A_6018_Use">'5c'!$E$19</definedName>
    <definedName name="Q5c_A_9001_Explain">'5c'!$F$9</definedName>
    <definedName name="Q5c_A_9001_Use">'5c'!$E$9</definedName>
    <definedName name="Q5c_A_9100_Explain">'5c'!$F$10</definedName>
    <definedName name="Q5c_A_9100_Use">'5c'!$E$10</definedName>
    <definedName name="Q5c_A_NADCAP_Explain">'5c'!$F$11</definedName>
    <definedName name="Q5c_A_NADCAP_Use">'5c'!$E$11</definedName>
    <definedName name="Q5c_A_Other1_Explain">'5c'!$F$20</definedName>
    <definedName name="Q5c_A_Other1_Specify">'5c'!$D$20</definedName>
    <definedName name="Q5c_A_Other1_Use">'5c'!$E$20</definedName>
    <definedName name="Q5c_A_Other2_Explain">'5c'!$F$21</definedName>
    <definedName name="Q5c_A_Other2_Specify">'5c'!$D$21</definedName>
    <definedName name="Q5c_A_Other2_Use">'5c'!$E$21</definedName>
    <definedName name="Q5c_B_TRB_Explain">'5c'!$D$23</definedName>
    <definedName name="Q5c_B_TRB_YN">'5c'!$F$22</definedName>
    <definedName name="Q5c_C_AS9102">'5c'!$J$24</definedName>
    <definedName name="Q5c_C_Explain">'5c'!$D$25</definedName>
    <definedName name="Q5c_C_InspectMethod">'5c'!$G$24</definedName>
    <definedName name="Q5c_Comment">'5c'!$D$35</definedName>
    <definedName name="Q5c_D_Continuity">'5c'!$F$31</definedName>
    <definedName name="Q5c_D_Flying">'5c'!$F$28</definedName>
    <definedName name="Q5c_D_HALT">'5c'!$J$31</definedName>
    <definedName name="Q5c_D_HAST">'5c'!$J$30</definedName>
    <definedName name="Q5c_D_HATS">'5c'!$J$32</definedName>
    <definedName name="Q5c_D_Impedance">'5c'!$J$28</definedName>
    <definedName name="Q5c_D_Interconnect">'5c'!$J$29</definedName>
    <definedName name="Q5c_D_Isolation">'5c'!$F$30</definedName>
    <definedName name="Q5c_D_Nails">'5c'!$F$29</definedName>
    <definedName name="Q5c_D_TestAllNoPhase">'5c'!$F$32</definedName>
    <definedName name="Q5c_E_MRP">'5c'!$J$34</definedName>
    <definedName name="Q5c_E_StatProcessCtrl">'5c'!$J$33</definedName>
    <definedName name="Q5d_A_Layers_2012">'5d'!$I$7</definedName>
    <definedName name="Q5d_A_Layers_2013">'5d'!$J$7</definedName>
    <definedName name="Q5d_A_Layers_2014">'5d'!$K$7</definedName>
    <definedName name="Q5d_A_Layers_2015">'5d'!$L$7</definedName>
    <definedName name="Q5d_A_Panels_2012">'5d'!$I$8</definedName>
    <definedName name="Q5d_A_Panels_2013">'5d'!$J$8</definedName>
    <definedName name="Q5d_A_Panels_2014">'5d'!$K$8</definedName>
    <definedName name="Q5d_A_Panels_2015">'5d'!$L$8</definedName>
    <definedName name="Q5d_B_12x18">'5d'!$J$11</definedName>
    <definedName name="Q5d_B_12x24">'5d'!$I$11</definedName>
    <definedName name="Q5d_B_18x24">'5d'!$H$11</definedName>
    <definedName name="Q5d_B_21x24">'5d'!$G$11</definedName>
    <definedName name="Q5d_B_24x30">'5d'!$F$11</definedName>
    <definedName name="Q5d_B_24x36">'5d'!$E$11</definedName>
    <definedName name="Q5d_B_9x12">'5d'!$K$11</definedName>
    <definedName name="Q5d_B_Comments">'5d'!$E$12</definedName>
    <definedName name="Q5d_B_Other">'5d'!$L$11</definedName>
    <definedName name="Q5d_C_Capacity_Layers">'5d'!$K$14</definedName>
    <definedName name="Q5d_C_Capacity_Panels">'5d'!$L$14</definedName>
    <definedName name="Q5d_Comment">'5d'!$E$36</definedName>
    <definedName name="Q5d_D_Explain">'5d'!$E$19</definedName>
    <definedName name="Q5d_D_FrontEndShift_Current">'5d'!$L$17</definedName>
    <definedName name="Q5d_D_FrontEndShift_Possible">'5d'!$L$18</definedName>
    <definedName name="Q5d_D_ProdShift_Current">'5d'!$L$15</definedName>
    <definedName name="Q5d_D_ProdShift_Possible">'5d'!$L$16</definedName>
    <definedName name="Q5d_E_Utilization_2012">'5d'!$I$22</definedName>
    <definedName name="Q5d_E_Utilization_2013">'5d'!$J$22</definedName>
    <definedName name="Q5d_E_Utilization_2014">'5d'!$K$22</definedName>
    <definedName name="Q5d_E_Utilization_2015">'5d'!$L$22</definedName>
    <definedName name="Q5d_F_Explain">'5d'!$E$25</definedName>
    <definedName name="Q5d_F_Weeksto100">'5d'!$L$23</definedName>
    <definedName name="Q5d_F_Weeksto150">'5d'!$L$24</definedName>
    <definedName name="Q5d_G_AmountEq_100">'5d'!$G$29</definedName>
    <definedName name="Q5d_G_AmountEq_150">'5d'!$H$29</definedName>
    <definedName name="Q5d_G_AmountEq_Explain">'5d'!$I$29</definedName>
    <definedName name="Q5d_G_AvailEq_100">'5d'!$G$30</definedName>
    <definedName name="Q5d_G_AvailEq_150">'5d'!$H$30</definedName>
    <definedName name="Q5d_G_AvailEq_Explain">'5d'!$I$30</definedName>
    <definedName name="Q5d_G_AvailInput_100">'5d'!$G$34</definedName>
    <definedName name="Q5d_G_AvailInput_150">'5d'!$H$34</definedName>
    <definedName name="Q5d_G_AvailInput_Explain">'5d'!$I$34</definedName>
    <definedName name="Q5d_G_Labor_100">'5d'!$G$32</definedName>
    <definedName name="Q5d_G_Labor_150">'5d'!$H$32</definedName>
    <definedName name="Q5d_G_Labor_Explain">'5d'!$I$32</definedName>
    <definedName name="Q5d_G_Other_100">'5d'!$G$35</definedName>
    <definedName name="Q5d_G_Other_150">'5d'!$H$35</definedName>
    <definedName name="Q5d_G_Other_Explain">'5d'!$I$35</definedName>
    <definedName name="Q5d_G_QC_100">'5d'!$G$33</definedName>
    <definedName name="Q5d_G_QC_150">'5d'!$H$33</definedName>
    <definedName name="Q5d_G_QC_Explain">'5d'!$I$33</definedName>
    <definedName name="Q5d_G_Space_100">'5d'!$G$31</definedName>
    <definedName name="Q5d_G_Space_150">'5d'!$H$31</definedName>
    <definedName name="Q5d_G_Space_Explain">'5d'!$I$31</definedName>
    <definedName name="Q5e_B_FrontEnd_Comm_Change">'5e'!$E$20</definedName>
    <definedName name="Q5e_B_FrontEnd_Comm_Explain">'5e'!$F$20</definedName>
    <definedName name="Q5e_B_FrontEnd_Def_Change">'5e'!$E$21</definedName>
    <definedName name="Q5e_B_FrontEnd_Def_Explain">'5e'!$F$21</definedName>
    <definedName name="Q5e_C_Outsource_Comm_Country1">'5e'!$F$28</definedName>
    <definedName name="Q5e_C_Outsource_Comm_Country2">'5e'!$H$28</definedName>
    <definedName name="Q5e_C_Outsource_Comm_Country3">'5e'!$J$28</definedName>
    <definedName name="Q5e_C_Outsource_Comm_YN">'5e'!$E$28</definedName>
    <definedName name="Q5e_C_Outsource_Def_Country1">'5e'!$F$29</definedName>
    <definedName name="Q5e_C_Outsource_Def_Country2">'5e'!$H$29</definedName>
    <definedName name="Q5e_C_Outsource_Def_Country3">'5e'!$J$29</definedName>
    <definedName name="Q5e_C_Outsource_Def_YN">'5e'!$E$29</definedName>
    <definedName name="Q5e_C_OutsourceFrontEnd">'5e'!$K$24</definedName>
    <definedName name="Q5e_C_OutsourceFrontEnd_Notify">'5e'!$K$25</definedName>
    <definedName name="Q5e_C_OwnFrontEnd">'5e'!$K$22</definedName>
    <definedName name="Q5e_C_ProvideFrontEnd">'5e'!$K$23</definedName>
    <definedName name="Q5e_Comment">'5e'!$E$34</definedName>
    <definedName name="Q5e_D_Bottleneck1">'5e'!$D$31</definedName>
    <definedName name="Q5e_D_Bottleneck1_Explain">'5e'!$G$31</definedName>
    <definedName name="Q5e_D_Bottleneck2">'5e'!$D$32</definedName>
    <definedName name="Q5e_D_Bottleneck2_Explain">'5e'!$G$32</definedName>
    <definedName name="Q5e_D_Bottleneck3">'5e'!$D$33</definedName>
    <definedName name="Q5e_D_Bottleneck3_Explain">'5e'!$G$33</definedName>
    <definedName name="Q5e_Flex_Conv_Change">'5e'!$E$11</definedName>
    <definedName name="Q5e_Flex_Conv_Explain">'5e'!$F$11</definedName>
    <definedName name="Q5e_Flex_HF_Change">'5e'!$E$14</definedName>
    <definedName name="Q5e_Flex_HF_Explain">'5e'!$F$14</definedName>
    <definedName name="Q5e_Flex_HS_Change">'5e'!$E$13</definedName>
    <definedName name="Q5e_Flex_HS_Explain">'5e'!$F$13</definedName>
    <definedName name="Q5e_Flex_Micro_Change">'5e'!$E$15</definedName>
    <definedName name="Q5e_Flex_Micro_Explain">'5e'!$F$15</definedName>
    <definedName name="Q5e_Flex_Multi_Change">'5e'!$E$12</definedName>
    <definedName name="Q5e_Flex_Multi_Explain">'5e'!$F$12</definedName>
    <definedName name="Q5e_ICSub_Change">'5e'!$E$17</definedName>
    <definedName name="Q5e_ICSub_Explain">'5e'!$F$17</definedName>
    <definedName name="Q5e_RigFlex_Change">'5e'!$E$16</definedName>
    <definedName name="Q5e_RigFlex_Explain">'5e'!$F$16</definedName>
    <definedName name="Q5e_Rigid_Conv_Change">'5e'!$E$6</definedName>
    <definedName name="Q5e_Rigid_Conv_Explain">'5e'!$F$6</definedName>
    <definedName name="Q5e_Rigid_HF_Change">'5e'!$E$9</definedName>
    <definedName name="Q5e_Rigid_HF_Explain">'5e'!$F$9</definedName>
    <definedName name="Q5e_Rigid_HS_Change">'5e'!$E$8</definedName>
    <definedName name="Q5e_Rigid_HS_Explain">'5e'!$F$8</definedName>
    <definedName name="Q5e_Rigid_Micro_Change">'5e'!$E$10</definedName>
    <definedName name="Q5e_Rigid_Micro_Explain">'5e'!$F$10</definedName>
    <definedName name="Q5e_Rigid_Multi_Change">'5e'!$E$7</definedName>
    <definedName name="Q5e_Rigid_Multi_Explain">'5e'!$F$7</definedName>
    <definedName name="Q6_A_Employees_Year1">'[1]6'!$F$6</definedName>
    <definedName name="Q6a_Comment">'6a'!$E$43</definedName>
    <definedName name="Q6b_A1_Continue_Weeks">'6b'!$J$4</definedName>
    <definedName name="Q6b_A2_Supplier_Weeks">'6b'!$J$5</definedName>
    <definedName name="Q6b_A3_SuppProb_Explain">'6b'!$E$7</definedName>
    <definedName name="Q6b_A3_SuppProb_YN">'6b'!$K$6</definedName>
    <definedName name="Q6b_A4_RampUpMaterial_Explain">'6b'!$E$9</definedName>
    <definedName name="Q6b_A4_RampUpMaterial_YN">'6b'!$J$8</definedName>
    <definedName name="Q6b_B_InventoryDesc">'6b'!$C$11</definedName>
    <definedName name="Q6b_B_InventoryExplain">'6b'!$E$12</definedName>
    <definedName name="Q6b_C_Explain">'6b'!$E$16</definedName>
    <definedName name="Q6b_C1_OnSite">'6b'!$K$14</definedName>
    <definedName name="Q6b_C2_Local">'6b'!$K$15</definedName>
    <definedName name="Q6b_Comment">'6b'!$E$17</definedName>
    <definedName name="Q6c_B_Parts_Explain">'6c'!$J$33</definedName>
    <definedName name="Q6c_B_Parts_NonUS">'6c'!$I$33</definedName>
    <definedName name="Q6c_B_Parts_US">'6c'!$H$33</definedName>
    <definedName name="Q6c_B_Service_Explain">'6c'!$J$34</definedName>
    <definedName name="Q6c_B_Service_NonUS">'6c'!$I$34</definedName>
    <definedName name="Q6c_B_Service_US">'6c'!$H$34</definedName>
    <definedName name="Q6c_C_EquipLimits_Explain">'6c'!$J$35</definedName>
    <definedName name="Q6c_C_EquipLimits_YN">'6c'!$H$35</definedName>
    <definedName name="Q6c_C_TLEquip_Explain">'6c'!$J$36</definedName>
    <definedName name="Q6c_C_TLEquip_YN">'6c'!$H$36</definedName>
    <definedName name="Q6c_Comment">'6c'!$E$37</definedName>
    <definedName name="Q6d_A_Counterfeit_Any">'6d'!$J$4</definedName>
    <definedName name="Q6d_A_Counterfeit_Laminate">'6d'!$F$7</definedName>
    <definedName name="Q6d_A_Counterfeit_Laminate_Explain">'6d'!$H$7</definedName>
    <definedName name="Q6d_A_Counterfeit_Other">'6d'!$F$9</definedName>
    <definedName name="Q6d_A_Counterfeit_Other_Explain">'6d'!$H$9</definedName>
    <definedName name="Q6d_A_Counterfeit_Other_Specify">'6d'!$E$9</definedName>
    <definedName name="Q6d_A_Counterfeit_Prepreg">'6d'!$F$6</definedName>
    <definedName name="Q6d_A_Counterfeit_Prepreg_Explain">'6d'!$H$6</definedName>
    <definedName name="Q6d_A_Counterfeit_Soldermask">'6d'!$F$8</definedName>
    <definedName name="Q6d_A_Counterfeit_Soldermask_Explain">'6d'!$H$8</definedName>
    <definedName name="Q6d_B_CheckAuth">'6d'!$J$14</definedName>
    <definedName name="Q6d_B_Confirm">'6d'!$J$13</definedName>
    <definedName name="Q6d_B_NonOEM">'6d'!$J$10</definedName>
    <definedName name="Q6d_B_Other1">'6d'!$J$15</definedName>
    <definedName name="Q6d_B_Other1_Specify">'6d'!$E$15</definedName>
    <definedName name="Q6d_B_Other2">'6d'!$J$16</definedName>
    <definedName name="Q6d_B_Other2_Specify">'6d'!$E$16</definedName>
    <definedName name="Q6d_B_SystematicTest">'6d'!$J$12</definedName>
    <definedName name="Q6d_Comment">'6d'!$F$17</definedName>
    <definedName name="Q7_Comment">'7'!$E$18</definedName>
    <definedName name="Q7_Schedule">'7'!$G$6</definedName>
    <definedName name="Q7_Source">'7'!$G$5</definedName>
    <definedName name="Q7_TotalBare_NonUS_2012">'7'!$G$16</definedName>
    <definedName name="Q7_TotalBare_NonUS_2013">'7'!$J$16</definedName>
    <definedName name="Q7_TotalBare_NonUS_2014">'7'!$M$16</definedName>
    <definedName name="Q7_TotalBare_NonUS_2015">'7'!$P$16</definedName>
    <definedName name="Q7_TotalBare_US_2012">'7'!$F$16</definedName>
    <definedName name="Q7_TotalBare_US_2013">'7'!$I$16</definedName>
    <definedName name="Q7_TotalBare_US_2014">'7'!$L$16</definedName>
    <definedName name="Q7_TotalBare_US_2015">'7'!$O$16</definedName>
    <definedName name="Q7_TotalBareGovPct_NonUS_2012">'7'!$G$17</definedName>
    <definedName name="Q7_TotalBareGovPct_NonUS_2013">'7'!$J$17</definedName>
    <definedName name="Q7_TotalBareGovPct_NonUS_2014">'7'!$M$17</definedName>
    <definedName name="Q7_TotalBareGovPct_NonUS_2015">'7'!$P$17</definedName>
    <definedName name="Q7_TotalBareGovPct_US_2012">'7'!$F$17</definedName>
    <definedName name="Q7_TotalBareGovPct_US_2013">'7'!$I$17</definedName>
    <definedName name="Q7_TotalBareGovPct_US_2014">'7'!$L$17</definedName>
    <definedName name="Q7_TotalBareGovPct_US_2015">'7'!$O$17</definedName>
    <definedName name="Q7_TotalBoard_NonUS_2012">'7'!$G$13</definedName>
    <definedName name="Q7_TotalBoard_NonUS_2013">'7'!$J$13</definedName>
    <definedName name="Q7_TotalBoard_NonUS_2014">'7'!$M$13</definedName>
    <definedName name="Q7_TotalBoard_NonUS_2015">'7'!$P$13</definedName>
    <definedName name="Q7_TotalBoard_US_2012">'7'!$F$13</definedName>
    <definedName name="Q7_TotalBoard_US_2013">'7'!$I$13</definedName>
    <definedName name="Q7_TotalBoard_US_2014">'7'!$L$13</definedName>
    <definedName name="Q7_TotalBoard_US_2015">'7'!$O$13</definedName>
    <definedName name="Q7_TotalBoardGovPct_NonUS_2012">'7'!$G$14</definedName>
    <definedName name="Q7_TotalBoardGovPct_NonUS_2013">'7'!$J$14</definedName>
    <definedName name="Q7_TotalBoardGovPct_NonUS_2014">'7'!$M$14</definedName>
    <definedName name="Q7_TotalBoardGovPct_NonUS_2015">'7'!$P$14</definedName>
    <definedName name="Q7_TotalBoardGovPct_US_2012">'7'!$F$14</definedName>
    <definedName name="Q7_TotalBoardGovPct_US_2013">'7'!$I$14</definedName>
    <definedName name="Q7_TotalBoardGovPct_US_2014">'7'!$L$14</definedName>
    <definedName name="Q7_TotalBoardGovPct_US_2015">'7'!$O$14</definedName>
    <definedName name="Q7_TotalGovPct_NonUS_2012">'7'!$G$11</definedName>
    <definedName name="Q7_TotalGovPct_NonUS_2013">'7'!$J$11</definedName>
    <definedName name="Q7_TotalGovPct_NonUS_2014">'7'!$M$11</definedName>
    <definedName name="Q7_TotalGovPct_NonUS_2015">'7'!$P$11</definedName>
    <definedName name="Q7_TotalGovPct_US_2012">'7'!$F$11</definedName>
    <definedName name="Q7_TotalGovPct_US_2013">'7'!$I$11</definedName>
    <definedName name="Q7_TotalGovPct_US_2014">'7'!$L$11</definedName>
    <definedName name="Q7_TotalGovPct_US_2015">'7'!$O$11</definedName>
    <definedName name="Q7_TotalSales_NonUS_2012">'7'!$G$10</definedName>
    <definedName name="Q7_TotalSales_NonUS_2013">'7'!$J$10</definedName>
    <definedName name="Q7_TotalSales_NonUS_2014">'7'!$M$10</definedName>
    <definedName name="Q7_TotalSales_NonUS_2015">'7'!$P$10</definedName>
    <definedName name="Q7_TotalSales_US_2012">'7'!$F$10</definedName>
    <definedName name="Q7_TotalSales_US_2013">'7'!$I$10</definedName>
    <definedName name="Q7_TotalSales_US_2014">'7'!$L$10</definedName>
    <definedName name="Q7_TotalSales_US_2015">'7'!$O$10</definedName>
    <definedName name="Q8_BS_Schedule">'8'!$E$6</definedName>
    <definedName name="Q8_BS_Source">'8'!$E$14</definedName>
    <definedName name="Q8_Cash_2012">'8'!$E$18</definedName>
    <definedName name="Q8_Cash_2013">'8'!$F$18</definedName>
    <definedName name="Q8_Cash_2014">'8'!$G$18</definedName>
    <definedName name="Q8_Cash_2015">'8'!$H$18</definedName>
    <definedName name="Q8_COGS_2012">'8'!$E$10</definedName>
    <definedName name="Q8_COGS_2013">'8'!$F$10</definedName>
    <definedName name="Q8_COGS_2014">'8'!$G$10</definedName>
    <definedName name="Q8_COGS_2015">'8'!$H$10</definedName>
    <definedName name="Q8_Comment">'8'!$D$27</definedName>
    <definedName name="Q8_CurrentAssets_2012">'8'!$E$20</definedName>
    <definedName name="Q8_CurrentAssets_2013">'8'!$F$20</definedName>
    <definedName name="Q8_CurrentAssets_2014">'8'!$G$20</definedName>
    <definedName name="Q8_CurrentAssets_2015">'8'!$H$20</definedName>
    <definedName name="Q8_CurrentLiab_2012">'8'!$E$22</definedName>
    <definedName name="Q8_CurrentLiab_2013">'8'!$F$22</definedName>
    <definedName name="Q8_CurrentLiab_2014">'8'!$G$22</definedName>
    <definedName name="Q8_CurrentLiab_2015">'8'!$H$22</definedName>
    <definedName name="Q8_EBIT_2012">'8'!$E$12</definedName>
    <definedName name="Q8_EBIT_2013">'8'!$F$12</definedName>
    <definedName name="Q8_EBIT_2014">'8'!$G$12</definedName>
    <definedName name="Q8_EBIT_2015">'8'!$H$12</definedName>
    <definedName name="Q8_Inv_2012">'8'!$E$19</definedName>
    <definedName name="Q8_Inv_2013">'8'!$F$19</definedName>
    <definedName name="Q8_Inv_2014">'8'!$G$19</definedName>
    <definedName name="Q8_Inv_2015">'8'!$H$19</definedName>
    <definedName name="Q8_IS_Schedule">'8'!$E$15</definedName>
    <definedName name="Q8_IS_Source">'8'!$E$5</definedName>
    <definedName name="Q8_NetInc_2012">'8'!$E$13</definedName>
    <definedName name="Q8_NetInc_2013">'8'!$F$13</definedName>
    <definedName name="Q8_NetInc_2014">'8'!$G$13</definedName>
    <definedName name="Q8_NetInc_2015">'8'!$H$13</definedName>
    <definedName name="Q8_NetSales_2012">'8'!$E$9</definedName>
    <definedName name="Q8_NetSales_2013">'8'!$F$9</definedName>
    <definedName name="Q8_NetSales_2014">'8'!$G$9</definedName>
    <definedName name="Q8_NetSales_2015">'8'!$H$9</definedName>
    <definedName name="Q8_OpInc_2012">'8'!$E$11</definedName>
    <definedName name="Q8_OpInc_2013">'8'!$F$11</definedName>
    <definedName name="Q8_OpInc_2014">'8'!$G$11</definedName>
    <definedName name="Q8_OpInc_2015">'8'!$H$11</definedName>
    <definedName name="Q8_OwnersEq_2012">'8'!$E$25</definedName>
    <definedName name="Q8_OwnersEq_2013">'8'!$F$25</definedName>
    <definedName name="Q8_OwnersEq_2014">'8'!$G$25</definedName>
    <definedName name="Q8_OwnersEq_2015">'8'!$H$25</definedName>
    <definedName name="Q8_RetainedEarn_2012">'8'!$E$24</definedName>
    <definedName name="Q8_RetainedEarn_2013">'8'!$F$24</definedName>
    <definedName name="Q8_RetainedEarn_2014">'8'!$G$24</definedName>
    <definedName name="Q8_RetainedEarn_2015">'8'!$H$24</definedName>
    <definedName name="Q8_TotalAssets_2012">'8'!$E$21</definedName>
    <definedName name="Q8_TotalAssets_2013">'8'!$F$21</definedName>
    <definedName name="Q8_TotalAssets_2014">'8'!$G$21</definedName>
    <definedName name="Q8_TotalAssets_2015">'8'!$H$21</definedName>
    <definedName name="Q8_TotalLiab_2012">'8'!$E$23</definedName>
    <definedName name="Q8_TotalLiab_2013">'8'!$F$23</definedName>
    <definedName name="Q8_TotalLiab_2014">'8'!$G$23</definedName>
    <definedName name="Q8_TotalLiab_2015">'8'!$H$23</definedName>
    <definedName name="Q9a_Comment">'9a'!$E$27</definedName>
    <definedName name="Q9a_RD_Expend_AppliedPct_2012">'9a'!$F$12</definedName>
    <definedName name="Q9a_RD_Expend_AppliedPct_2013">'9a'!$G$12</definedName>
    <definedName name="Q9a_RD_Expend_AppliedPct_2014">'9a'!$H$12</definedName>
    <definedName name="Q9a_RD_Expend_AppliedPct_2015">'9a'!$I$12</definedName>
    <definedName name="Q9a_RD_Expend_BareDefPct_2012">'9a'!$F$16</definedName>
    <definedName name="Q9a_RD_Expend_BareDefPct_2013">'9a'!$G$16</definedName>
    <definedName name="Q9a_RD_Expend_BareDefPct_2014">'9a'!$H$16</definedName>
    <definedName name="Q9a_RD_Expend_BareDefPct_2015">'9a'!$I$16</definedName>
    <definedName name="Q9a_RD_Expend_BarePct_2012">'9a'!$F$15</definedName>
    <definedName name="Q9a_RD_Expend_BarePct_2013">'9a'!$G$15</definedName>
    <definedName name="Q9a_RD_Expend_BarePct_2014">'9a'!$H$15</definedName>
    <definedName name="Q9a_RD_Expend_BarePct_2015">'9a'!$I$15</definedName>
    <definedName name="Q9a_RD_Expend_BasicPct_2012">'9a'!$F$11</definedName>
    <definedName name="Q9a_RD_Expend_BasicPct_2013">'9a'!$G$11</definedName>
    <definedName name="Q9a_RD_Expend_BasicPct_2014">'9a'!$H$11</definedName>
    <definedName name="Q9a_RD_Expend_BasicPct_2015">'9a'!$I$11</definedName>
    <definedName name="Q9a_RD_Expend_PPDPct_2012">'9a'!$F$13</definedName>
    <definedName name="Q9a_RD_Expend_PPDPct_2013">'9a'!$G$13</definedName>
    <definedName name="Q9a_RD_Expend_PPDPct_2014">'9a'!$H$13</definedName>
    <definedName name="Q9a_RD_Expend_PPDPct_2015">'9a'!$I$13</definedName>
    <definedName name="Q9a_RD_Expend_Total_2012">'9a'!$F$10</definedName>
    <definedName name="Q9a_RD_Expend_Total_2013">'9a'!$G$10</definedName>
    <definedName name="Q9a_RD_Expend_Total_2014">'9a'!$H$10</definedName>
    <definedName name="Q9a_RD_Expend_Total_2015">'9a'!$I$10</definedName>
    <definedName name="Q9a_RD_Fund_IndustryPct_2012">'9a'!$F$24</definedName>
    <definedName name="Q9a_RD_Fund_IndustryPct_2013">'9a'!$G$24</definedName>
    <definedName name="Q9a_RD_Fund_IndustryPct_2014">'9a'!$H$24</definedName>
    <definedName name="Q9a_RD_Fund_IndustryPct_2015">'9a'!$I$24</definedName>
    <definedName name="Q9a_RD_Fund_IRADPct_2012">'9a'!$F$20</definedName>
    <definedName name="Q9a_RD_Fund_IRADPct_2013">'9a'!$G$20</definedName>
    <definedName name="Q9a_RD_Fund_IRADPct_2014">'9a'!$H$20</definedName>
    <definedName name="Q9a_RD_Fund_IRADPct_2015">'9a'!$I$20</definedName>
    <definedName name="Q9a_RD_Fund_LocalPct_2012">'9a'!$F$22</definedName>
    <definedName name="Q9a_RD_Fund_LocalPct_2013">'9a'!$G$22</definedName>
    <definedName name="Q9a_RD_Fund_LocalPct_2014">'9a'!$H$22</definedName>
    <definedName name="Q9a_RD_Fund_LocalPct_2015">'9a'!$I$22</definedName>
    <definedName name="Q9a_RD_Fund_NonUSPct_2012">'9a'!$F$25</definedName>
    <definedName name="Q9a_RD_Fund_NonUSPct_2013">'9a'!$G$25</definedName>
    <definedName name="Q9a_RD_Fund_NonUSPct_2014">'9a'!$H$25</definedName>
    <definedName name="Q9a_RD_Fund_NonUSPct_2015">'9a'!$I$25</definedName>
    <definedName name="Q9a_RD_Fund_Other_Specify">'9a'!$E$26</definedName>
    <definedName name="Q9a_RD_Fund_OtherPct_2012">'9a'!$F$26</definedName>
    <definedName name="Q9a_RD_Fund_OtherPct_2013">'9a'!$G$26</definedName>
    <definedName name="Q9a_RD_Fund_OtherPct_2014">'9a'!$H$26</definedName>
    <definedName name="Q9a_RD_Fund_OtherPct_2015">'9a'!$I$26</definedName>
    <definedName name="Q9a_RD_Fund_Total_2012">'9a'!$F$19</definedName>
    <definedName name="Q9a_RD_Fund_Total_2013">'9a'!$G$19</definedName>
    <definedName name="Q9a_RD_Fund_Total_2014">'9a'!$H$19</definedName>
    <definedName name="Q9a_RD_Fund_Total_2015">'9a'!$I$19</definedName>
    <definedName name="Q9a_RD_Fund_UniPct_2012">'9a'!$F$23</definedName>
    <definedName name="Q9a_RD_Fund_UniPct_2013">'9a'!$G$23</definedName>
    <definedName name="Q9a_RD_Fund_UniPct_2014">'9a'!$H$23</definedName>
    <definedName name="Q9a_RD_Fund_UniPct_2015">'9a'!$I$23</definedName>
    <definedName name="Q9a_RD_Fund_USGPct_2012">'9a'!$F$21</definedName>
    <definedName name="Q9a_RD_Fund_USGPct_2013">'9a'!$G$21</definedName>
    <definedName name="Q9a_RD_Fund_USGPct_2014">'9a'!$H$21</definedName>
    <definedName name="Q9a_RD_Fund_USGPct_2015">'9a'!$I$21</definedName>
    <definedName name="Q9a_RD_YN">'9a'!$F$4</definedName>
    <definedName name="Q9a_Schedule">'9a'!$F$7</definedName>
    <definedName name="Q9a_Source">'9a'!$F$6</definedName>
    <definedName name="Q9b_A_Priority1_Explain">'9b'!$G$6</definedName>
    <definedName name="Q9b_A_Priority1_Select">'9b'!$D$6</definedName>
    <definedName name="Q9b_A_Priority2_Explain">'9b'!$G$7</definedName>
    <definedName name="Q9b_A_Priority2_Select">'9b'!$D$7</definedName>
    <definedName name="Q9b_A_Priority3_Explain">'9b'!$G$8</definedName>
    <definedName name="Q9b_A_Priority3_Select">'9b'!$D$8</definedName>
    <definedName name="Q9b_A_Priority4_Explain">'9b'!$G$9</definedName>
    <definedName name="Q9b_A_Priority4_Select">'9b'!$D$9</definedName>
    <definedName name="Q9b_A_Priority5_Explain">'9b'!$G$10</definedName>
    <definedName name="Q9b_A_Priority5_Select">'9b'!$D$10</definedName>
    <definedName name="Q9b_B_CompAdv_Explain">'9b'!$G$13</definedName>
    <definedName name="Q9b_B_CompAdv_YN">'9b'!$F$13</definedName>
    <definedName name="Q9b_B_Industry_Explain">'9b'!$G$15</definedName>
    <definedName name="Q9b_B_Industry_YN">'9b'!$F$15</definedName>
    <definedName name="Q9b_B_Other1_Explain">'9b'!$G$16</definedName>
    <definedName name="Q9b_B_Other1_Specify">'9b'!$E$16</definedName>
    <definedName name="Q9b_B_Other1_YN">'9b'!$F$16</definedName>
    <definedName name="Q9b_B_Other2_Explain">'9b'!$G$17</definedName>
    <definedName name="Q9b_B_Other2_Specify">'9b'!$E$17</definedName>
    <definedName name="Q9b_B_Other2_YN">'9b'!$F$17</definedName>
    <definedName name="Q9b_B_Other3_Explain">'9b'!$G$18</definedName>
    <definedName name="Q9b_B_Other3_Specify">'9b'!$E$18</definedName>
    <definedName name="Q9b_B_Other3_YN">'9b'!$F$18</definedName>
    <definedName name="Q9b_B_Requirements_Explain">'9b'!$G$14</definedName>
    <definedName name="Q9b_B_Requirements_YN">'9b'!$F$14</definedName>
    <definedName name="Q9b_C_USGImpact_Explain">'9b'!$E$20</definedName>
    <definedName name="Q9b_C_USGImpact_YN">'9b'!$K$19</definedName>
    <definedName name="Q9b_Comment">'9b'!$F$27</definedName>
    <definedName name="Q9b_D_DODFocus1_Explain">'9b'!$G$24</definedName>
    <definedName name="Q9b_D_DODFocus1_Select">'9b'!$D$24</definedName>
    <definedName name="Q9b_D_DODFocus2_Explain">'9b'!$G$25</definedName>
    <definedName name="Q9b_D_DODFocus2_Select">'9b'!$D$25</definedName>
    <definedName name="Q9b_D_DODFocus3_Explain">'9b'!$G$26</definedName>
    <definedName name="Q9b_D_DODFocus3_Select">'9b'!$D$26</definedName>
    <definedName name="Q9b_D_DODHelp_Explain">'9b'!$E$22</definedName>
    <definedName name="Q9b_D_DODHelp_YN">'9b'!$L$21</definedName>
    <definedName name="RDPriorities">Lists!$BE$2:$BE$10</definedName>
    <definedName name="RespType">Lists!$H$2:$H$4</definedName>
    <definedName name="Risk2012">'D-Risk'!$Y$15</definedName>
    <definedName name="Risk2013">'D-Risk'!$Z$15</definedName>
    <definedName name="Risk2014">'D-Risk'!$AA$15</definedName>
    <definedName name="Risk2015">'D-Risk'!$AB$15</definedName>
    <definedName name="RiskFinalRating">'D-Risk'!$AD$24</definedName>
    <definedName name="RiskFinalScore">'D-Risk'!$AD$23</definedName>
    <definedName name="RP_A_OrgType">'Respondent Profile'!$H$4</definedName>
    <definedName name="RP_B_Assembly_YN">'Respondent Profile'!$I$6</definedName>
    <definedName name="RP_B_DesignYN">'Respondent Profile'!$G$6</definedName>
    <definedName name="RP_B_ManufactureYN">'Respondent Profile'!$H$6</definedName>
    <definedName name="RP_C_OrgStructure">'Respondent Profile'!$H$8</definedName>
    <definedName name="Shifts">Lists!$AQ$2:$AQ$5</definedName>
    <definedName name="SoleSingle">Lists!$AC$2:$AC$5</definedName>
    <definedName name="State">Lists!$I$2:$I$52</definedName>
    <definedName name="SupportType">Lists!$Y$2:$Y$6</definedName>
    <definedName name="USG_Dependent_Year1">'[1]D-7 (Pivot)'!$AF$5/'[1]D-7 (Pivot)'!$AF$10</definedName>
    <definedName name="USG_Dependent_Year2">'[1]D-7 (Pivot)'!$AF$17/'[1]D-7 (Pivot)'!$AF$22</definedName>
    <definedName name="USG_Dependent_Year3">'[1]D-7 (Pivot)'!$AF$29/'[1]D-7 (Pivot)'!$AF$34</definedName>
    <definedName name="USNon">Lists!$S$2:$S$5</definedName>
    <definedName name="WhoResp">Lists!$BB$2:$BB$9</definedName>
    <definedName name="Year1">'[1]9a'!$M$17</definedName>
    <definedName name="Year2">'[1]9a'!$M$18</definedName>
    <definedName name="Year3">'[1]9a'!$M$19</definedName>
    <definedName name="YearType">Lists!$AE$2:$AE$3</definedName>
    <definedName name="YesNo">Lists!$B$2:$B$3</definedName>
    <definedName name="YesNoNA">Lists!$D$2:$D$4</definedName>
    <definedName name="YesNoUnk">Lists!$C$2:$C$4</definedName>
  </definedNames>
  <calcPr calcId="145621"/>
</workbook>
</file>

<file path=xl/calcChain.xml><?xml version="1.0" encoding="utf-8"?>
<calcChain xmlns="http://schemas.openxmlformats.org/spreadsheetml/2006/main">
  <c r="L18" i="51" l="1"/>
  <c r="K18" i="51"/>
  <c r="J18" i="51"/>
  <c r="I18" i="51"/>
  <c r="I15" i="62"/>
  <c r="H15" i="62"/>
  <c r="G15" i="62"/>
  <c r="F15" i="62"/>
  <c r="AB10" i="88"/>
  <c r="AA10" i="88"/>
  <c r="Z10" i="88"/>
  <c r="Y10" i="88"/>
  <c r="AB9" i="88"/>
  <c r="AA9" i="88"/>
  <c r="Z9" i="88"/>
  <c r="Y9" i="88"/>
  <c r="A3" i="97"/>
  <c r="B3" i="97"/>
  <c r="C3" i="97"/>
  <c r="D3" i="97"/>
  <c r="E3" i="97"/>
  <c r="I3" i="97"/>
  <c r="J3" i="97"/>
  <c r="K3" i="97"/>
  <c r="L3" i="97"/>
  <c r="A4" i="97"/>
  <c r="B4" i="97"/>
  <c r="C4" i="97"/>
  <c r="D4" i="97"/>
  <c r="E4" i="97"/>
  <c r="I4" i="97"/>
  <c r="J4" i="97"/>
  <c r="K4" i="97"/>
  <c r="L4" i="97"/>
  <c r="A5" i="97"/>
  <c r="B5" i="97"/>
  <c r="C5" i="97"/>
  <c r="D5" i="97"/>
  <c r="E5" i="97"/>
  <c r="I5" i="97"/>
  <c r="J5" i="97"/>
  <c r="K5" i="97"/>
  <c r="L5" i="97"/>
  <c r="A6" i="97"/>
  <c r="B6" i="97"/>
  <c r="C6" i="97"/>
  <c r="D6" i="97"/>
  <c r="E6" i="97"/>
  <c r="I6" i="97"/>
  <c r="J6" i="97"/>
  <c r="K6" i="97"/>
  <c r="L6" i="97"/>
  <c r="A7" i="97"/>
  <c r="B7" i="97"/>
  <c r="C7" i="97"/>
  <c r="D7" i="97"/>
  <c r="E7" i="97"/>
  <c r="I7" i="97"/>
  <c r="J7" i="97"/>
  <c r="K7" i="97"/>
  <c r="L7" i="97"/>
  <c r="A8" i="97"/>
  <c r="B8" i="97"/>
  <c r="C8" i="97"/>
  <c r="D8" i="97"/>
  <c r="E8" i="97"/>
  <c r="I8" i="97"/>
  <c r="J8" i="97"/>
  <c r="K8" i="97"/>
  <c r="L8" i="97"/>
  <c r="A9" i="97"/>
  <c r="B9" i="97"/>
  <c r="C9" i="97"/>
  <c r="D9" i="97"/>
  <c r="E9" i="97"/>
  <c r="I9" i="97"/>
  <c r="J9" i="97"/>
  <c r="K9" i="97"/>
  <c r="L9" i="97"/>
  <c r="A10" i="97"/>
  <c r="B10" i="97"/>
  <c r="C10" i="97"/>
  <c r="D10" i="97"/>
  <c r="E10" i="97"/>
  <c r="I10" i="97"/>
  <c r="J10" i="97"/>
  <c r="K10" i="97"/>
  <c r="L10" i="97"/>
  <c r="A11" i="97"/>
  <c r="B11" i="97"/>
  <c r="C11" i="97"/>
  <c r="D11" i="97"/>
  <c r="E11" i="97"/>
  <c r="I11" i="97"/>
  <c r="J11" i="97"/>
  <c r="K11" i="97"/>
  <c r="L11" i="97"/>
  <c r="A12" i="97"/>
  <c r="B12" i="97"/>
  <c r="C12" i="97"/>
  <c r="D12" i="97"/>
  <c r="E12" i="97"/>
  <c r="I12" i="97"/>
  <c r="J12" i="97"/>
  <c r="K12" i="97"/>
  <c r="L12" i="97"/>
  <c r="A13" i="97"/>
  <c r="B13" i="97"/>
  <c r="C13" i="97"/>
  <c r="D13" i="97"/>
  <c r="E13" i="97"/>
  <c r="I13" i="97"/>
  <c r="J13" i="97"/>
  <c r="K13" i="97"/>
  <c r="L13" i="97"/>
  <c r="A14" i="97"/>
  <c r="B14" i="97"/>
  <c r="C14" i="97"/>
  <c r="D14" i="97"/>
  <c r="E14" i="97"/>
  <c r="I14" i="97"/>
  <c r="J14" i="97"/>
  <c r="K14" i="97"/>
  <c r="L14" i="97"/>
  <c r="A15" i="97"/>
  <c r="B15" i="97"/>
  <c r="C15" i="97"/>
  <c r="D15" i="97"/>
  <c r="E15" i="97"/>
  <c r="I15" i="97"/>
  <c r="J15" i="97"/>
  <c r="K15" i="97"/>
  <c r="L15" i="97"/>
  <c r="A16" i="97"/>
  <c r="B16" i="97"/>
  <c r="C16" i="97"/>
  <c r="D16" i="97"/>
  <c r="E16" i="97"/>
  <c r="I16" i="97"/>
  <c r="J16" i="97"/>
  <c r="K16" i="97"/>
  <c r="L16" i="97"/>
  <c r="A17" i="97"/>
  <c r="B17" i="97"/>
  <c r="C17" i="97"/>
  <c r="D17" i="97"/>
  <c r="E17" i="97"/>
  <c r="I17" i="97"/>
  <c r="J17" i="97"/>
  <c r="K17" i="97"/>
  <c r="L17" i="97"/>
  <c r="A18" i="97"/>
  <c r="B18" i="97"/>
  <c r="C18" i="97"/>
  <c r="D18" i="97"/>
  <c r="E18" i="97"/>
  <c r="I18" i="97"/>
  <c r="J18" i="97"/>
  <c r="K18" i="97"/>
  <c r="L18" i="97"/>
  <c r="A19" i="97"/>
  <c r="B19" i="97"/>
  <c r="C19" i="97"/>
  <c r="D19" i="97"/>
  <c r="E19" i="97"/>
  <c r="I19" i="97"/>
  <c r="J19" i="97"/>
  <c r="K19" i="97"/>
  <c r="L19" i="97"/>
  <c r="A20" i="97"/>
  <c r="B20" i="97"/>
  <c r="C20" i="97"/>
  <c r="D20" i="97"/>
  <c r="E20" i="97"/>
  <c r="I20" i="97"/>
  <c r="J20" i="97"/>
  <c r="K20" i="97"/>
  <c r="L20" i="97"/>
  <c r="A21" i="97"/>
  <c r="B21" i="97"/>
  <c r="C21" i="97"/>
  <c r="D21" i="97"/>
  <c r="E21" i="97"/>
  <c r="I21" i="97"/>
  <c r="J21" i="97"/>
  <c r="K21" i="97"/>
  <c r="L21" i="97"/>
  <c r="A22" i="97"/>
  <c r="B22" i="97"/>
  <c r="C22" i="97"/>
  <c r="D22" i="97"/>
  <c r="E22" i="97"/>
  <c r="I22" i="97"/>
  <c r="J22" i="97"/>
  <c r="K22" i="97"/>
  <c r="L22" i="97"/>
  <c r="A23" i="97"/>
  <c r="B23" i="97"/>
  <c r="C23" i="97"/>
  <c r="D23" i="97"/>
  <c r="E23" i="97"/>
  <c r="I23" i="97"/>
  <c r="J23" i="97"/>
  <c r="K23" i="97"/>
  <c r="L23" i="97"/>
  <c r="A24" i="97"/>
  <c r="B24" i="97"/>
  <c r="C24" i="97"/>
  <c r="D24" i="97"/>
  <c r="E24" i="97"/>
  <c r="I24" i="97"/>
  <c r="J24" i="97"/>
  <c r="K24" i="97"/>
  <c r="L24" i="97"/>
  <c r="A25" i="97"/>
  <c r="B25" i="97"/>
  <c r="C25" i="97"/>
  <c r="D25" i="97"/>
  <c r="E25" i="97"/>
  <c r="I25" i="97"/>
  <c r="J25" i="97"/>
  <c r="K25" i="97"/>
  <c r="L25" i="97"/>
  <c r="A26" i="97"/>
  <c r="B26" i="97"/>
  <c r="C26" i="97"/>
  <c r="D26" i="97"/>
  <c r="E26" i="97"/>
  <c r="I26" i="97"/>
  <c r="J26" i="97"/>
  <c r="K26" i="97"/>
  <c r="L26" i="97"/>
  <c r="A27" i="97"/>
  <c r="B27" i="97"/>
  <c r="C27" i="97"/>
  <c r="D27" i="97"/>
  <c r="E27" i="97"/>
  <c r="I27" i="97"/>
  <c r="J27" i="97"/>
  <c r="K27" i="97"/>
  <c r="L27" i="97"/>
  <c r="A28" i="97"/>
  <c r="B28" i="97"/>
  <c r="C28" i="97"/>
  <c r="D28" i="97"/>
  <c r="E28" i="97"/>
  <c r="I28" i="97"/>
  <c r="J28" i="97"/>
  <c r="K28" i="97"/>
  <c r="L28" i="97"/>
  <c r="A29" i="97"/>
  <c r="B29" i="97"/>
  <c r="C29" i="97"/>
  <c r="D29" i="97"/>
  <c r="E29" i="97"/>
  <c r="I29" i="97"/>
  <c r="J29" i="97"/>
  <c r="K29" i="97"/>
  <c r="L29" i="97"/>
  <c r="A30" i="97"/>
  <c r="B30" i="97"/>
  <c r="C30" i="97"/>
  <c r="D30" i="97"/>
  <c r="E30" i="97"/>
  <c r="I30" i="97"/>
  <c r="J30" i="97"/>
  <c r="K30" i="97"/>
  <c r="L30" i="97"/>
  <c r="A3" i="94"/>
  <c r="B3" i="94"/>
  <c r="C3" i="94"/>
  <c r="D3" i="94"/>
  <c r="E3" i="94"/>
  <c r="I3" i="94"/>
  <c r="J3" i="94"/>
  <c r="K3" i="94"/>
  <c r="L3" i="94"/>
  <c r="A4" i="94"/>
  <c r="B4" i="94"/>
  <c r="C4" i="94"/>
  <c r="D4" i="94"/>
  <c r="E4" i="94"/>
  <c r="I4" i="94"/>
  <c r="J4" i="94"/>
  <c r="K4" i="94"/>
  <c r="L4" i="94"/>
  <c r="A5" i="94"/>
  <c r="B5" i="94"/>
  <c r="C5" i="94"/>
  <c r="D5" i="94"/>
  <c r="E5" i="94"/>
  <c r="I5" i="94"/>
  <c r="J5" i="94"/>
  <c r="K5" i="94"/>
  <c r="L5" i="94"/>
  <c r="A6" i="94"/>
  <c r="B6" i="94"/>
  <c r="C6" i="94"/>
  <c r="D6" i="94"/>
  <c r="E6" i="94"/>
  <c r="I6" i="94"/>
  <c r="J6" i="94"/>
  <c r="K6" i="94"/>
  <c r="L6" i="94"/>
  <c r="A7" i="94"/>
  <c r="B7" i="94"/>
  <c r="C7" i="94"/>
  <c r="D7" i="94"/>
  <c r="E7" i="94"/>
  <c r="I7" i="94"/>
  <c r="J7" i="94"/>
  <c r="K7" i="94"/>
  <c r="L7" i="94"/>
  <c r="A8" i="94"/>
  <c r="B8" i="94"/>
  <c r="C8" i="94"/>
  <c r="D8" i="94"/>
  <c r="E8" i="94"/>
  <c r="I8" i="94"/>
  <c r="J8" i="94"/>
  <c r="K8" i="94"/>
  <c r="L8" i="94"/>
  <c r="A9" i="94"/>
  <c r="B9" i="94"/>
  <c r="C9" i="94"/>
  <c r="D9" i="94"/>
  <c r="E9" i="94"/>
  <c r="I9" i="94"/>
  <c r="J9" i="94"/>
  <c r="K9" i="94"/>
  <c r="L9" i="94"/>
  <c r="A10" i="94"/>
  <c r="B10" i="94"/>
  <c r="C10" i="94"/>
  <c r="D10" i="94"/>
  <c r="E10" i="94"/>
  <c r="I10" i="94"/>
  <c r="J10" i="94"/>
  <c r="K10" i="94"/>
  <c r="L10" i="94"/>
  <c r="A11" i="94"/>
  <c r="B11" i="94"/>
  <c r="C11" i="94"/>
  <c r="D11" i="94"/>
  <c r="E11" i="94"/>
  <c r="I11" i="94"/>
  <c r="J11" i="94"/>
  <c r="K11" i="94"/>
  <c r="L11" i="94"/>
  <c r="A12" i="94"/>
  <c r="B12" i="94"/>
  <c r="C12" i="94"/>
  <c r="D12" i="94"/>
  <c r="E12" i="94"/>
  <c r="I12" i="94"/>
  <c r="J12" i="94"/>
  <c r="K12" i="94"/>
  <c r="L12" i="94"/>
  <c r="A13" i="94"/>
  <c r="B13" i="94"/>
  <c r="C13" i="94"/>
  <c r="D13" i="94"/>
  <c r="E13" i="94"/>
  <c r="I13" i="94"/>
  <c r="J13" i="94"/>
  <c r="K13" i="94"/>
  <c r="L13" i="94"/>
  <c r="A14" i="94"/>
  <c r="B14" i="94"/>
  <c r="C14" i="94"/>
  <c r="D14" i="94"/>
  <c r="E14" i="94"/>
  <c r="I14" i="94"/>
  <c r="J14" i="94"/>
  <c r="K14" i="94"/>
  <c r="L14" i="94"/>
  <c r="A15" i="94"/>
  <c r="B15" i="94"/>
  <c r="C15" i="94"/>
  <c r="D15" i="94"/>
  <c r="E15" i="94"/>
  <c r="I15" i="94"/>
  <c r="J15" i="94"/>
  <c r="K15" i="94"/>
  <c r="L15" i="94"/>
  <c r="A16" i="94"/>
  <c r="B16" i="94"/>
  <c r="C16" i="94"/>
  <c r="D16" i="94"/>
  <c r="E16" i="94"/>
  <c r="I16" i="94"/>
  <c r="J16" i="94"/>
  <c r="K16" i="94"/>
  <c r="L16" i="94"/>
  <c r="A17" i="94"/>
  <c r="B17" i="94"/>
  <c r="C17" i="94"/>
  <c r="D17" i="94"/>
  <c r="E17" i="94"/>
  <c r="I17" i="94"/>
  <c r="J17" i="94"/>
  <c r="K17" i="94"/>
  <c r="L17" i="94"/>
  <c r="A18" i="94"/>
  <c r="B18" i="94"/>
  <c r="C18" i="94"/>
  <c r="D18" i="94"/>
  <c r="E18" i="94"/>
  <c r="I18" i="94"/>
  <c r="J18" i="94"/>
  <c r="K18" i="94"/>
  <c r="L18" i="94"/>
  <c r="A19" i="94"/>
  <c r="B19" i="94"/>
  <c r="C19" i="94"/>
  <c r="D19" i="94"/>
  <c r="E19" i="94"/>
  <c r="I19" i="94"/>
  <c r="J19" i="94"/>
  <c r="K19" i="94"/>
  <c r="L19" i="94"/>
  <c r="A20" i="94"/>
  <c r="B20" i="94"/>
  <c r="C20" i="94"/>
  <c r="D20" i="94"/>
  <c r="E20" i="94"/>
  <c r="I20" i="94"/>
  <c r="J20" i="94"/>
  <c r="K20" i="94"/>
  <c r="L20" i="94"/>
  <c r="A21" i="94"/>
  <c r="B21" i="94"/>
  <c r="C21" i="94"/>
  <c r="D21" i="94"/>
  <c r="E21" i="94"/>
  <c r="I21" i="94"/>
  <c r="J21" i="94"/>
  <c r="K21" i="94"/>
  <c r="L21" i="94"/>
  <c r="A22" i="94"/>
  <c r="B22" i="94"/>
  <c r="C22" i="94"/>
  <c r="D22" i="94"/>
  <c r="E22" i="94"/>
  <c r="I22" i="94"/>
  <c r="J22" i="94"/>
  <c r="K22" i="94"/>
  <c r="L22" i="94"/>
  <c r="A23" i="94"/>
  <c r="B23" i="94"/>
  <c r="C23" i="94"/>
  <c r="D23" i="94"/>
  <c r="E23" i="94"/>
  <c r="I23" i="94"/>
  <c r="J23" i="94"/>
  <c r="K23" i="94"/>
  <c r="L23" i="94"/>
  <c r="A3" i="93"/>
  <c r="B3" i="93"/>
  <c r="C3" i="93"/>
  <c r="D3" i="93"/>
  <c r="E3" i="93"/>
  <c r="I3" i="93"/>
  <c r="J3" i="93"/>
  <c r="K3" i="93"/>
  <c r="L3" i="93"/>
  <c r="A4" i="93"/>
  <c r="B4" i="93"/>
  <c r="C4" i="93"/>
  <c r="D4" i="93"/>
  <c r="E4" i="93"/>
  <c r="I4" i="93"/>
  <c r="J4" i="93"/>
  <c r="K4" i="93"/>
  <c r="L4" i="93"/>
  <c r="A5" i="93"/>
  <c r="B5" i="93"/>
  <c r="C5" i="93"/>
  <c r="D5" i="93"/>
  <c r="E5" i="93"/>
  <c r="I5" i="93"/>
  <c r="J5" i="93"/>
  <c r="K5" i="93"/>
  <c r="L5" i="93"/>
  <c r="A6" i="93"/>
  <c r="B6" i="93"/>
  <c r="C6" i="93"/>
  <c r="D6" i="93"/>
  <c r="E6" i="93"/>
  <c r="I6" i="93"/>
  <c r="J6" i="93"/>
  <c r="K6" i="93"/>
  <c r="L6" i="93"/>
  <c r="A7" i="93"/>
  <c r="B7" i="93"/>
  <c r="C7" i="93"/>
  <c r="D7" i="93"/>
  <c r="E7" i="93"/>
  <c r="I7" i="93"/>
  <c r="J7" i="93"/>
  <c r="K7" i="93"/>
  <c r="L7" i="93"/>
  <c r="A8" i="93"/>
  <c r="B8" i="93"/>
  <c r="C8" i="93"/>
  <c r="D8" i="93"/>
  <c r="E8" i="93"/>
  <c r="I8" i="93"/>
  <c r="J8" i="93"/>
  <c r="K8" i="93"/>
  <c r="L8" i="93"/>
  <c r="A9" i="93"/>
  <c r="B9" i="93"/>
  <c r="C9" i="93"/>
  <c r="D9" i="93"/>
  <c r="E9" i="93"/>
  <c r="I9" i="93"/>
  <c r="J9" i="93"/>
  <c r="K9" i="93"/>
  <c r="L9" i="93"/>
  <c r="A10" i="93"/>
  <c r="B10" i="93"/>
  <c r="C10" i="93"/>
  <c r="D10" i="93"/>
  <c r="E10" i="93"/>
  <c r="I10" i="93"/>
  <c r="J10" i="93"/>
  <c r="K10" i="93"/>
  <c r="L10" i="93"/>
  <c r="A11" i="93"/>
  <c r="B11" i="93"/>
  <c r="C11" i="93"/>
  <c r="D11" i="93"/>
  <c r="E11" i="93"/>
  <c r="I11" i="93"/>
  <c r="J11" i="93"/>
  <c r="K11" i="93"/>
  <c r="L11" i="93"/>
  <c r="A12" i="93"/>
  <c r="B12" i="93"/>
  <c r="C12" i="93"/>
  <c r="D12" i="93"/>
  <c r="E12" i="93"/>
  <c r="I12" i="93"/>
  <c r="J12" i="93"/>
  <c r="K12" i="93"/>
  <c r="L12" i="93"/>
  <c r="A13" i="93"/>
  <c r="B13" i="93"/>
  <c r="C13" i="93"/>
  <c r="D13" i="93"/>
  <c r="E13" i="93"/>
  <c r="I13" i="93"/>
  <c r="J13" i="93"/>
  <c r="K13" i="93"/>
  <c r="L13" i="93"/>
  <c r="A14" i="93"/>
  <c r="B14" i="93"/>
  <c r="C14" i="93"/>
  <c r="D14" i="93"/>
  <c r="E14" i="93"/>
  <c r="I14" i="93"/>
  <c r="J14" i="93"/>
  <c r="K14" i="93"/>
  <c r="L14" i="93"/>
  <c r="A15" i="93"/>
  <c r="B15" i="93"/>
  <c r="C15" i="93"/>
  <c r="D15" i="93"/>
  <c r="E15" i="93"/>
  <c r="I15" i="93"/>
  <c r="J15" i="93"/>
  <c r="K15" i="93"/>
  <c r="L15" i="93"/>
  <c r="A16" i="93"/>
  <c r="B16" i="93"/>
  <c r="C16" i="93"/>
  <c r="D16" i="93"/>
  <c r="E16" i="93"/>
  <c r="I16" i="93"/>
  <c r="J16" i="93"/>
  <c r="K16" i="93"/>
  <c r="L16" i="93"/>
  <c r="A17" i="93"/>
  <c r="B17" i="93"/>
  <c r="C17" i="93"/>
  <c r="D17" i="93"/>
  <c r="E17" i="93"/>
  <c r="I17" i="93"/>
  <c r="J17" i="93"/>
  <c r="K17" i="93"/>
  <c r="L17" i="93"/>
  <c r="A18" i="93"/>
  <c r="B18" i="93"/>
  <c r="C18" i="93"/>
  <c r="D18" i="93"/>
  <c r="E18" i="93"/>
  <c r="I18" i="93"/>
  <c r="J18" i="93"/>
  <c r="K18" i="93"/>
  <c r="L18" i="93"/>
  <c r="A19" i="93"/>
  <c r="B19" i="93"/>
  <c r="C19" i="93"/>
  <c r="D19" i="93"/>
  <c r="E19" i="93"/>
  <c r="I19" i="93"/>
  <c r="J19" i="93"/>
  <c r="K19" i="93"/>
  <c r="L19" i="93"/>
  <c r="A20" i="93"/>
  <c r="B20" i="93"/>
  <c r="C20" i="93"/>
  <c r="D20" i="93"/>
  <c r="E20" i="93"/>
  <c r="I20" i="93"/>
  <c r="J20" i="93"/>
  <c r="K20" i="93"/>
  <c r="L20" i="93"/>
  <c r="A21" i="93"/>
  <c r="B21" i="93"/>
  <c r="C21" i="93"/>
  <c r="D21" i="93"/>
  <c r="E21" i="93"/>
  <c r="I21" i="93"/>
  <c r="J21" i="93"/>
  <c r="K21" i="93"/>
  <c r="L21" i="93"/>
  <c r="A22" i="93"/>
  <c r="B22" i="93"/>
  <c r="C22" i="93"/>
  <c r="D22" i="93"/>
  <c r="E22" i="93"/>
  <c r="I22" i="93"/>
  <c r="J22" i="93"/>
  <c r="K22" i="93"/>
  <c r="L22" i="93"/>
  <c r="A23" i="93"/>
  <c r="B23" i="93"/>
  <c r="C23" i="93"/>
  <c r="D23" i="93"/>
  <c r="E23" i="93"/>
  <c r="I23" i="93"/>
  <c r="J23" i="93"/>
  <c r="K23" i="93"/>
  <c r="L23" i="93"/>
  <c r="A24" i="93"/>
  <c r="B24" i="93"/>
  <c r="C24" i="93"/>
  <c r="D24" i="93"/>
  <c r="E24" i="93"/>
  <c r="I24" i="93"/>
  <c r="J24" i="93"/>
  <c r="K24" i="93"/>
  <c r="L24" i="93"/>
  <c r="A25" i="93"/>
  <c r="B25" i="93"/>
  <c r="C25" i="93"/>
  <c r="D25" i="93"/>
  <c r="E25" i="93"/>
  <c r="I25" i="93"/>
  <c r="J25" i="93"/>
  <c r="K25" i="93"/>
  <c r="L25" i="93"/>
  <c r="A26" i="93"/>
  <c r="B26" i="93"/>
  <c r="C26" i="93"/>
  <c r="D26" i="93"/>
  <c r="E26" i="93"/>
  <c r="I26" i="93"/>
  <c r="J26" i="93"/>
  <c r="K26" i="93"/>
  <c r="L26" i="93"/>
  <c r="A27" i="93"/>
  <c r="B27" i="93"/>
  <c r="C27" i="93"/>
  <c r="D27" i="93"/>
  <c r="E27" i="93"/>
  <c r="I27" i="93"/>
  <c r="J27" i="93"/>
  <c r="K27" i="93"/>
  <c r="L27" i="93"/>
  <c r="A28" i="93"/>
  <c r="B28" i="93"/>
  <c r="C28" i="93"/>
  <c r="D28" i="93"/>
  <c r="E28" i="93"/>
  <c r="I28" i="93"/>
  <c r="J28" i="93"/>
  <c r="K28" i="93"/>
  <c r="L28" i="93"/>
  <c r="A29" i="93"/>
  <c r="B29" i="93"/>
  <c r="C29" i="93"/>
  <c r="D29" i="93"/>
  <c r="E29" i="93"/>
  <c r="I29" i="93"/>
  <c r="J29" i="93"/>
  <c r="K29" i="93"/>
  <c r="L29" i="93"/>
  <c r="A30" i="93"/>
  <c r="B30" i="93"/>
  <c r="C30" i="93"/>
  <c r="D30" i="93"/>
  <c r="E30" i="93"/>
  <c r="I30" i="93"/>
  <c r="J30" i="93"/>
  <c r="K30" i="93"/>
  <c r="L30" i="93"/>
  <c r="A31" i="93"/>
  <c r="B31" i="93"/>
  <c r="C31" i="93"/>
  <c r="D31" i="93"/>
  <c r="E31" i="93"/>
  <c r="I31" i="93"/>
  <c r="J31" i="93"/>
  <c r="K31" i="93"/>
  <c r="L31" i="93"/>
  <c r="A32" i="93"/>
  <c r="B32" i="93"/>
  <c r="C32" i="93"/>
  <c r="D32" i="93"/>
  <c r="E32" i="93"/>
  <c r="I32" i="93"/>
  <c r="J32" i="93"/>
  <c r="K32" i="93"/>
  <c r="L32" i="93"/>
  <c r="A33" i="93"/>
  <c r="B33" i="93"/>
  <c r="C33" i="93"/>
  <c r="D33" i="93"/>
  <c r="E33" i="93"/>
  <c r="I33" i="93"/>
  <c r="J33" i="93"/>
  <c r="K33" i="93"/>
  <c r="L33" i="93"/>
  <c r="A34" i="93"/>
  <c r="B34" i="93"/>
  <c r="C34" i="93"/>
  <c r="D34" i="93"/>
  <c r="E34" i="93"/>
  <c r="I34" i="93"/>
  <c r="J34" i="93"/>
  <c r="K34" i="93"/>
  <c r="L34" i="93"/>
  <c r="A35" i="93"/>
  <c r="B35" i="93"/>
  <c r="C35" i="93"/>
  <c r="D35" i="93"/>
  <c r="E35" i="93"/>
  <c r="I35" i="93"/>
  <c r="J35" i="93"/>
  <c r="K35" i="93"/>
  <c r="L35" i="93"/>
  <c r="A36" i="93"/>
  <c r="B36" i="93"/>
  <c r="C36" i="93"/>
  <c r="D36" i="93"/>
  <c r="E36" i="93"/>
  <c r="I36" i="93"/>
  <c r="J36" i="93"/>
  <c r="K36" i="93"/>
  <c r="L36" i="93"/>
  <c r="A37" i="93"/>
  <c r="B37" i="93"/>
  <c r="C37" i="93"/>
  <c r="D37" i="93"/>
  <c r="E37" i="93"/>
  <c r="I37" i="93"/>
  <c r="J37" i="93"/>
  <c r="K37" i="93"/>
  <c r="L37" i="93"/>
  <c r="A38" i="93"/>
  <c r="B38" i="93"/>
  <c r="C38" i="93"/>
  <c r="D38" i="93"/>
  <c r="E38" i="93"/>
  <c r="I38" i="93"/>
  <c r="J38" i="93"/>
  <c r="K38" i="93"/>
  <c r="L38" i="93"/>
  <c r="A39" i="93"/>
  <c r="B39" i="93"/>
  <c r="C39" i="93"/>
  <c r="D39" i="93"/>
  <c r="E39" i="93"/>
  <c r="I39" i="93"/>
  <c r="J39" i="93"/>
  <c r="K39" i="93"/>
  <c r="L39" i="93"/>
  <c r="A40" i="93"/>
  <c r="B40" i="93"/>
  <c r="C40" i="93"/>
  <c r="D40" i="93"/>
  <c r="E40" i="93"/>
  <c r="I40" i="93"/>
  <c r="J40" i="93"/>
  <c r="K40" i="93"/>
  <c r="L40" i="93"/>
  <c r="A41" i="93"/>
  <c r="B41" i="93"/>
  <c r="C41" i="93"/>
  <c r="D41" i="93"/>
  <c r="E41" i="93"/>
  <c r="I41" i="93"/>
  <c r="J41" i="93"/>
  <c r="K41" i="93"/>
  <c r="L41" i="93"/>
  <c r="A3" i="91"/>
  <c r="B3" i="91"/>
  <c r="C3" i="91"/>
  <c r="D3" i="91"/>
  <c r="E3" i="91"/>
  <c r="I3" i="91"/>
  <c r="J3" i="91"/>
  <c r="K3" i="91"/>
  <c r="L3" i="91"/>
  <c r="A4" i="91"/>
  <c r="B4" i="91"/>
  <c r="C4" i="91"/>
  <c r="D4" i="91"/>
  <c r="E4" i="91"/>
  <c r="I4" i="91"/>
  <c r="J4" i="91"/>
  <c r="K4" i="91"/>
  <c r="L4" i="91"/>
  <c r="A5" i="91"/>
  <c r="B5" i="91"/>
  <c r="C5" i="91"/>
  <c r="D5" i="91"/>
  <c r="E5" i="91"/>
  <c r="I5" i="91"/>
  <c r="J5" i="91"/>
  <c r="K5" i="91"/>
  <c r="L5" i="91"/>
  <c r="A6" i="91"/>
  <c r="B6" i="91"/>
  <c r="C6" i="91"/>
  <c r="D6" i="91"/>
  <c r="E6" i="91"/>
  <c r="I6" i="91"/>
  <c r="J6" i="91"/>
  <c r="K6" i="91"/>
  <c r="L6" i="91"/>
  <c r="A7" i="91"/>
  <c r="B7" i="91"/>
  <c r="C7" i="91"/>
  <c r="D7" i="91"/>
  <c r="E7" i="91"/>
  <c r="I7" i="91"/>
  <c r="J7" i="91"/>
  <c r="K7" i="91"/>
  <c r="L7" i="91"/>
  <c r="A8" i="91"/>
  <c r="B8" i="91"/>
  <c r="C8" i="91"/>
  <c r="D8" i="91"/>
  <c r="E8" i="91"/>
  <c r="I8" i="91"/>
  <c r="J8" i="91"/>
  <c r="K8" i="91"/>
  <c r="L8" i="91"/>
  <c r="A9" i="91"/>
  <c r="B9" i="91"/>
  <c r="C9" i="91"/>
  <c r="D9" i="91"/>
  <c r="E9" i="91"/>
  <c r="I9" i="91"/>
  <c r="J9" i="91"/>
  <c r="K9" i="91"/>
  <c r="L9" i="91"/>
  <c r="A10" i="91"/>
  <c r="B10" i="91"/>
  <c r="C10" i="91"/>
  <c r="D10" i="91"/>
  <c r="E10" i="91"/>
  <c r="I10" i="91"/>
  <c r="J10" i="91"/>
  <c r="K10" i="91"/>
  <c r="L10" i="91"/>
  <c r="A11" i="91"/>
  <c r="B11" i="91"/>
  <c r="C11" i="91"/>
  <c r="D11" i="91"/>
  <c r="E11" i="91"/>
  <c r="I11" i="91"/>
  <c r="J11" i="91"/>
  <c r="K11" i="91"/>
  <c r="L11" i="91"/>
  <c r="A12" i="91"/>
  <c r="B12" i="91"/>
  <c r="C12" i="91"/>
  <c r="D12" i="91"/>
  <c r="E12" i="91"/>
  <c r="I12" i="91"/>
  <c r="J12" i="91"/>
  <c r="K12" i="91"/>
  <c r="L12" i="91"/>
  <c r="A13" i="91"/>
  <c r="B13" i="91"/>
  <c r="C13" i="91"/>
  <c r="D13" i="91"/>
  <c r="E13" i="91"/>
  <c r="I13" i="91"/>
  <c r="J13" i="91"/>
  <c r="K13" i="91"/>
  <c r="L13" i="91"/>
  <c r="A14" i="91"/>
  <c r="B14" i="91"/>
  <c r="C14" i="91"/>
  <c r="D14" i="91"/>
  <c r="E14" i="91"/>
  <c r="I14" i="91"/>
  <c r="J14" i="91"/>
  <c r="K14" i="91"/>
  <c r="L14" i="91"/>
  <c r="A15" i="91"/>
  <c r="B15" i="91"/>
  <c r="C15" i="91"/>
  <c r="D15" i="91"/>
  <c r="E15" i="91"/>
  <c r="I15" i="91"/>
  <c r="J15" i="91"/>
  <c r="K15" i="91"/>
  <c r="L15" i="91"/>
  <c r="A16" i="91"/>
  <c r="B16" i="91"/>
  <c r="C16" i="91"/>
  <c r="D16" i="91"/>
  <c r="E16" i="91"/>
  <c r="I16" i="91"/>
  <c r="J16" i="91"/>
  <c r="K16" i="91"/>
  <c r="L16" i="91"/>
  <c r="A17" i="91"/>
  <c r="B17" i="91"/>
  <c r="C17" i="91"/>
  <c r="D17" i="91"/>
  <c r="E17" i="91"/>
  <c r="I17" i="91"/>
  <c r="J17" i="91"/>
  <c r="K17" i="91"/>
  <c r="L17" i="91"/>
  <c r="A18" i="91"/>
  <c r="B18" i="91"/>
  <c r="C18" i="91"/>
  <c r="D18" i="91"/>
  <c r="E18" i="91"/>
  <c r="I18" i="91"/>
  <c r="J18" i="91"/>
  <c r="K18" i="91"/>
  <c r="L18" i="91"/>
  <c r="A19" i="91"/>
  <c r="B19" i="91"/>
  <c r="C19" i="91"/>
  <c r="D19" i="91"/>
  <c r="E19" i="91"/>
  <c r="I19" i="91"/>
  <c r="J19" i="91"/>
  <c r="K19" i="91"/>
  <c r="L19" i="91"/>
  <c r="A20" i="91"/>
  <c r="B20" i="91"/>
  <c r="C20" i="91"/>
  <c r="D20" i="91"/>
  <c r="E20" i="91"/>
  <c r="I20" i="91"/>
  <c r="J20" i="91"/>
  <c r="K20" i="91"/>
  <c r="L20" i="91"/>
  <c r="A21" i="91"/>
  <c r="B21" i="91"/>
  <c r="C21" i="91"/>
  <c r="D21" i="91"/>
  <c r="E21" i="91"/>
  <c r="I21" i="91"/>
  <c r="J21" i="91"/>
  <c r="K21" i="91"/>
  <c r="L21" i="91"/>
  <c r="A22" i="91"/>
  <c r="B22" i="91"/>
  <c r="C22" i="91"/>
  <c r="D22" i="91"/>
  <c r="E22" i="91"/>
  <c r="I22" i="91"/>
  <c r="J22" i="91"/>
  <c r="K22" i="91"/>
  <c r="L22" i="91"/>
  <c r="A23" i="91"/>
  <c r="B23" i="91"/>
  <c r="C23" i="91"/>
  <c r="D23" i="91"/>
  <c r="E23" i="91"/>
  <c r="I23" i="91"/>
  <c r="J23" i="91"/>
  <c r="K23" i="91"/>
  <c r="L23" i="91"/>
  <c r="A24" i="91"/>
  <c r="B24" i="91"/>
  <c r="C24" i="91"/>
  <c r="D24" i="91"/>
  <c r="E24" i="91"/>
  <c r="I24" i="91"/>
  <c r="J24" i="91"/>
  <c r="K24" i="91"/>
  <c r="L24" i="91"/>
  <c r="A25" i="91"/>
  <c r="B25" i="91"/>
  <c r="C25" i="91"/>
  <c r="D25" i="91"/>
  <c r="E25" i="91"/>
  <c r="I25" i="91"/>
  <c r="J25" i="91"/>
  <c r="K25" i="91"/>
  <c r="L25" i="91"/>
  <c r="A26" i="91"/>
  <c r="B26" i="91"/>
  <c r="C26" i="91"/>
  <c r="D26" i="91"/>
  <c r="E26" i="91"/>
  <c r="I26" i="91"/>
  <c r="J26" i="91"/>
  <c r="K26" i="91"/>
  <c r="L26" i="91"/>
  <c r="A27" i="91"/>
  <c r="B27" i="91"/>
  <c r="C27" i="91"/>
  <c r="D27" i="91"/>
  <c r="E27" i="91"/>
  <c r="I27" i="91"/>
  <c r="J27" i="91"/>
  <c r="K27" i="91"/>
  <c r="L27" i="91"/>
  <c r="A28" i="91"/>
  <c r="B28" i="91"/>
  <c r="C28" i="91"/>
  <c r="D28" i="91"/>
  <c r="E28" i="91"/>
  <c r="I28" i="91"/>
  <c r="J28" i="91"/>
  <c r="K28" i="91"/>
  <c r="L28" i="91"/>
  <c r="A29" i="91"/>
  <c r="B29" i="91"/>
  <c r="C29" i="91"/>
  <c r="D29" i="91"/>
  <c r="E29" i="91"/>
  <c r="I29" i="91"/>
  <c r="J29" i="91"/>
  <c r="K29" i="91"/>
  <c r="L29" i="91"/>
  <c r="A3" i="89"/>
  <c r="B3" i="89"/>
  <c r="C3" i="89"/>
  <c r="D3" i="89"/>
  <c r="E3" i="89"/>
  <c r="I3" i="89"/>
  <c r="J3" i="89"/>
  <c r="K3" i="89"/>
  <c r="L3" i="89"/>
  <c r="A4" i="89"/>
  <c r="B4" i="89"/>
  <c r="C4" i="89"/>
  <c r="D4" i="89"/>
  <c r="E4" i="89"/>
  <c r="I4" i="89"/>
  <c r="J4" i="89"/>
  <c r="K4" i="89"/>
  <c r="L4" i="89"/>
  <c r="A5" i="89"/>
  <c r="B5" i="89"/>
  <c r="C5" i="89"/>
  <c r="D5" i="89"/>
  <c r="E5" i="89"/>
  <c r="I5" i="89"/>
  <c r="J5" i="89"/>
  <c r="K5" i="89"/>
  <c r="L5" i="89"/>
  <c r="A6" i="89"/>
  <c r="B6" i="89"/>
  <c r="C6" i="89"/>
  <c r="D6" i="89"/>
  <c r="E6" i="89"/>
  <c r="I6" i="89"/>
  <c r="J6" i="89"/>
  <c r="K6" i="89"/>
  <c r="L6" i="89"/>
  <c r="A7" i="89"/>
  <c r="B7" i="89"/>
  <c r="C7" i="89"/>
  <c r="D7" i="89"/>
  <c r="E7" i="89"/>
  <c r="I7" i="89"/>
  <c r="J7" i="89"/>
  <c r="K7" i="89"/>
  <c r="L7" i="89"/>
  <c r="A8" i="89"/>
  <c r="B8" i="89"/>
  <c r="C8" i="89"/>
  <c r="D8" i="89"/>
  <c r="E8" i="89"/>
  <c r="I8" i="89"/>
  <c r="J8" i="89"/>
  <c r="K8" i="89"/>
  <c r="L8" i="89"/>
  <c r="A9" i="89"/>
  <c r="B9" i="89"/>
  <c r="C9" i="89"/>
  <c r="D9" i="89"/>
  <c r="E9" i="89"/>
  <c r="I9" i="89"/>
  <c r="J9" i="89"/>
  <c r="K9" i="89"/>
  <c r="L9" i="89"/>
  <c r="A10" i="89"/>
  <c r="B10" i="89"/>
  <c r="C10" i="89"/>
  <c r="D10" i="89"/>
  <c r="E10" i="89"/>
  <c r="I10" i="89"/>
  <c r="J10" i="89"/>
  <c r="K10" i="89"/>
  <c r="L10" i="89"/>
  <c r="A11" i="89"/>
  <c r="B11" i="89"/>
  <c r="C11" i="89"/>
  <c r="D11" i="89"/>
  <c r="E11" i="89"/>
  <c r="I11" i="89"/>
  <c r="J11" i="89"/>
  <c r="K11" i="89"/>
  <c r="L11" i="89"/>
  <c r="A12" i="89"/>
  <c r="B12" i="89"/>
  <c r="C12" i="89"/>
  <c r="D12" i="89"/>
  <c r="E12" i="89"/>
  <c r="I12" i="89"/>
  <c r="J12" i="89"/>
  <c r="K12" i="89"/>
  <c r="L12" i="89"/>
  <c r="A13" i="89"/>
  <c r="B13" i="89"/>
  <c r="C13" i="89"/>
  <c r="D13" i="89"/>
  <c r="E13" i="89"/>
  <c r="I13" i="89"/>
  <c r="J13" i="89"/>
  <c r="K13" i="89"/>
  <c r="L13" i="89"/>
  <c r="A14" i="89"/>
  <c r="B14" i="89"/>
  <c r="C14" i="89"/>
  <c r="D14" i="89"/>
  <c r="E14" i="89"/>
  <c r="I14" i="89"/>
  <c r="J14" i="89"/>
  <c r="K14" i="89"/>
  <c r="L14" i="89"/>
  <c r="A15" i="89"/>
  <c r="B15" i="89"/>
  <c r="C15" i="89"/>
  <c r="D15" i="89"/>
  <c r="E15" i="89"/>
  <c r="I15" i="89"/>
  <c r="J15" i="89"/>
  <c r="K15" i="89"/>
  <c r="L15" i="89"/>
  <c r="A16" i="89"/>
  <c r="B16" i="89"/>
  <c r="C16" i="89"/>
  <c r="D16" i="89"/>
  <c r="E16" i="89"/>
  <c r="I16" i="89"/>
  <c r="J16" i="89"/>
  <c r="K16" i="89"/>
  <c r="L16" i="89"/>
  <c r="A17" i="89"/>
  <c r="B17" i="89"/>
  <c r="C17" i="89"/>
  <c r="D17" i="89"/>
  <c r="E17" i="89"/>
  <c r="I17" i="89"/>
  <c r="J17" i="89"/>
  <c r="K17" i="89"/>
  <c r="L17" i="89"/>
  <c r="A18" i="89"/>
  <c r="B18" i="89"/>
  <c r="C18" i="89"/>
  <c r="D18" i="89"/>
  <c r="E18" i="89"/>
  <c r="I18" i="89"/>
  <c r="J18" i="89"/>
  <c r="K18" i="89"/>
  <c r="L18" i="89"/>
  <c r="A19" i="89"/>
  <c r="B19" i="89"/>
  <c r="C19" i="89"/>
  <c r="D19" i="89"/>
  <c r="E19" i="89"/>
  <c r="I19" i="89"/>
  <c r="J19" i="89"/>
  <c r="K19" i="89"/>
  <c r="L19" i="89"/>
  <c r="A20" i="89"/>
  <c r="B20" i="89"/>
  <c r="C20" i="89"/>
  <c r="D20" i="89"/>
  <c r="E20" i="89"/>
  <c r="I20" i="89"/>
  <c r="J20" i="89"/>
  <c r="K20" i="89"/>
  <c r="L20" i="89"/>
  <c r="A21" i="89"/>
  <c r="B21" i="89"/>
  <c r="C21" i="89"/>
  <c r="D21" i="89"/>
  <c r="E21" i="89"/>
  <c r="I21" i="89"/>
  <c r="J21" i="89"/>
  <c r="K21" i="89"/>
  <c r="L21" i="89"/>
  <c r="A22" i="89"/>
  <c r="B22" i="89"/>
  <c r="C22" i="89"/>
  <c r="D22" i="89"/>
  <c r="E22" i="89"/>
  <c r="I22" i="89"/>
  <c r="J22" i="89"/>
  <c r="K22" i="89"/>
  <c r="L22" i="89"/>
  <c r="A23" i="89"/>
  <c r="B23" i="89"/>
  <c r="C23" i="89"/>
  <c r="D23" i="89"/>
  <c r="E23" i="89"/>
  <c r="I23" i="89"/>
  <c r="J23" i="89"/>
  <c r="K23" i="89"/>
  <c r="L23" i="89"/>
  <c r="A24" i="89"/>
  <c r="B24" i="89"/>
  <c r="C24" i="89"/>
  <c r="D24" i="89"/>
  <c r="E24" i="89"/>
  <c r="I24" i="89"/>
  <c r="J24" i="89"/>
  <c r="K24" i="89"/>
  <c r="L24" i="89"/>
  <c r="A25" i="89"/>
  <c r="B25" i="89"/>
  <c r="C25" i="89"/>
  <c r="D25" i="89"/>
  <c r="E25" i="89"/>
  <c r="I25" i="89"/>
  <c r="J25" i="89"/>
  <c r="K25" i="89"/>
  <c r="L25" i="89"/>
  <c r="A26" i="89"/>
  <c r="B26" i="89"/>
  <c r="C26" i="89"/>
  <c r="D26" i="89"/>
  <c r="E26" i="89"/>
  <c r="I26" i="89"/>
  <c r="J26" i="89"/>
  <c r="K26" i="89"/>
  <c r="L26" i="89"/>
  <c r="A27" i="89"/>
  <c r="B27" i="89"/>
  <c r="C27" i="89"/>
  <c r="D27" i="89"/>
  <c r="E27" i="89"/>
  <c r="I27" i="89"/>
  <c r="J27" i="89"/>
  <c r="K27" i="89"/>
  <c r="L27" i="89"/>
  <c r="A28" i="89"/>
  <c r="B28" i="89"/>
  <c r="C28" i="89"/>
  <c r="D28" i="89"/>
  <c r="E28" i="89"/>
  <c r="I28" i="89"/>
  <c r="J28" i="89"/>
  <c r="K28" i="89"/>
  <c r="L28" i="89"/>
  <c r="A29" i="89"/>
  <c r="B29" i="89"/>
  <c r="C29" i="89"/>
  <c r="D29" i="89"/>
  <c r="E29" i="89"/>
  <c r="I29" i="89"/>
  <c r="J29" i="89"/>
  <c r="K29" i="89"/>
  <c r="L29" i="89"/>
  <c r="A30" i="89"/>
  <c r="B30" i="89"/>
  <c r="C30" i="89"/>
  <c r="D30" i="89"/>
  <c r="E30" i="89"/>
  <c r="I30" i="89"/>
  <c r="J30" i="89"/>
  <c r="K30" i="89"/>
  <c r="L30" i="89"/>
  <c r="A31" i="89"/>
  <c r="B31" i="89"/>
  <c r="C31" i="89"/>
  <c r="D31" i="89"/>
  <c r="E31" i="89"/>
  <c r="I31" i="89"/>
  <c r="J31" i="89"/>
  <c r="K31" i="89"/>
  <c r="L31" i="89"/>
  <c r="A32" i="89"/>
  <c r="B32" i="89"/>
  <c r="C32" i="89"/>
  <c r="D32" i="89"/>
  <c r="E32" i="89"/>
  <c r="I32" i="89"/>
  <c r="J32" i="89"/>
  <c r="K32" i="89"/>
  <c r="L32" i="89"/>
  <c r="A33" i="89"/>
  <c r="B33" i="89"/>
  <c r="C33" i="89"/>
  <c r="D33" i="89"/>
  <c r="E33" i="89"/>
  <c r="I33" i="89"/>
  <c r="J33" i="89"/>
  <c r="K33" i="89"/>
  <c r="L33" i="89"/>
  <c r="A34" i="89"/>
  <c r="B34" i="89"/>
  <c r="C34" i="89"/>
  <c r="D34" i="89"/>
  <c r="E34" i="89"/>
  <c r="I34" i="89"/>
  <c r="J34" i="89"/>
  <c r="K34" i="89"/>
  <c r="L34" i="89"/>
  <c r="A35" i="89"/>
  <c r="B35" i="89"/>
  <c r="C35" i="89"/>
  <c r="D35" i="89"/>
  <c r="E35" i="89"/>
  <c r="I35" i="89"/>
  <c r="J35" i="89"/>
  <c r="K35" i="89"/>
  <c r="L35" i="89"/>
  <c r="A36" i="89"/>
  <c r="B36" i="89"/>
  <c r="C36" i="89"/>
  <c r="D36" i="89"/>
  <c r="E36" i="89"/>
  <c r="I36" i="89"/>
  <c r="J36" i="89"/>
  <c r="K36" i="89"/>
  <c r="L36" i="89"/>
  <c r="A37" i="89"/>
  <c r="B37" i="89"/>
  <c r="C37" i="89"/>
  <c r="D37" i="89"/>
  <c r="E37" i="89"/>
  <c r="I37" i="89"/>
  <c r="J37" i="89"/>
  <c r="K37" i="89"/>
  <c r="L37" i="89"/>
  <c r="A38" i="89"/>
  <c r="B38" i="89"/>
  <c r="C38" i="89"/>
  <c r="D38" i="89"/>
  <c r="E38" i="89"/>
  <c r="I38" i="89"/>
  <c r="J38" i="89"/>
  <c r="K38" i="89"/>
  <c r="L38" i="89"/>
  <c r="A39" i="89"/>
  <c r="B39" i="89"/>
  <c r="C39" i="89"/>
  <c r="D39" i="89"/>
  <c r="E39" i="89"/>
  <c r="I39" i="89"/>
  <c r="J39" i="89"/>
  <c r="K39" i="89"/>
  <c r="L39" i="89"/>
  <c r="A40" i="89"/>
  <c r="B40" i="89"/>
  <c r="C40" i="89"/>
  <c r="D40" i="89"/>
  <c r="E40" i="89"/>
  <c r="I40" i="89"/>
  <c r="J40" i="89"/>
  <c r="K40" i="89"/>
  <c r="L40" i="89"/>
  <c r="A41" i="89"/>
  <c r="B41" i="89"/>
  <c r="C41" i="89"/>
  <c r="D41" i="89"/>
  <c r="E41" i="89"/>
  <c r="I41" i="89"/>
  <c r="J41" i="89"/>
  <c r="K41" i="89"/>
  <c r="L41" i="89"/>
  <c r="A42" i="89"/>
  <c r="B42" i="89"/>
  <c r="C42" i="89"/>
  <c r="D42" i="89"/>
  <c r="E42" i="89"/>
  <c r="I42" i="89"/>
  <c r="J42" i="89"/>
  <c r="K42" i="89"/>
  <c r="L42" i="89"/>
  <c r="A43" i="89"/>
  <c r="B43" i="89"/>
  <c r="C43" i="89"/>
  <c r="D43" i="89"/>
  <c r="E43" i="89"/>
  <c r="I43" i="89"/>
  <c r="J43" i="89"/>
  <c r="K43" i="89"/>
  <c r="L43" i="89"/>
  <c r="A44" i="89"/>
  <c r="B44" i="89"/>
  <c r="C44" i="89"/>
  <c r="D44" i="89"/>
  <c r="E44" i="89"/>
  <c r="I44" i="89"/>
  <c r="J44" i="89"/>
  <c r="K44" i="89"/>
  <c r="L44" i="89"/>
  <c r="A45" i="89"/>
  <c r="B45" i="89"/>
  <c r="C45" i="89"/>
  <c r="D45" i="89"/>
  <c r="E45" i="89"/>
  <c r="I45" i="89"/>
  <c r="J45" i="89"/>
  <c r="K45" i="89"/>
  <c r="L45" i="89"/>
  <c r="A46" i="89"/>
  <c r="B46" i="89"/>
  <c r="C46" i="89"/>
  <c r="D46" i="89"/>
  <c r="E46" i="89"/>
  <c r="I46" i="89"/>
  <c r="J46" i="89"/>
  <c r="K46" i="89"/>
  <c r="L46" i="89"/>
  <c r="A47" i="89"/>
  <c r="B47" i="89"/>
  <c r="C47" i="89"/>
  <c r="D47" i="89"/>
  <c r="E47" i="89"/>
  <c r="I47" i="89"/>
  <c r="J47" i="89"/>
  <c r="K47" i="89"/>
  <c r="L47" i="89"/>
  <c r="A48" i="89"/>
  <c r="B48" i="89"/>
  <c r="C48" i="89"/>
  <c r="D48" i="89"/>
  <c r="E48" i="89"/>
  <c r="I48" i="89"/>
  <c r="J48" i="89"/>
  <c r="K48" i="89"/>
  <c r="L48" i="89"/>
  <c r="A49" i="89"/>
  <c r="B49" i="89"/>
  <c r="C49" i="89"/>
  <c r="D49" i="89"/>
  <c r="E49" i="89"/>
  <c r="I49" i="89"/>
  <c r="J49" i="89"/>
  <c r="K49" i="89"/>
  <c r="L49" i="89"/>
  <c r="A50" i="89"/>
  <c r="B50" i="89"/>
  <c r="C50" i="89"/>
  <c r="D50" i="89"/>
  <c r="E50" i="89"/>
  <c r="I50" i="89"/>
  <c r="J50" i="89"/>
  <c r="K50" i="89"/>
  <c r="L50" i="89"/>
  <c r="A51" i="89"/>
  <c r="B51" i="89"/>
  <c r="C51" i="89"/>
  <c r="D51" i="89"/>
  <c r="E51" i="89"/>
  <c r="I51" i="89"/>
  <c r="J51" i="89"/>
  <c r="K51" i="89"/>
  <c r="L51" i="89"/>
  <c r="A52" i="89"/>
  <c r="B52" i="89"/>
  <c r="C52" i="89"/>
  <c r="D52" i="89"/>
  <c r="E52" i="89"/>
  <c r="I52" i="89"/>
  <c r="J52" i="89"/>
  <c r="K52" i="89"/>
  <c r="L52" i="89"/>
  <c r="A53" i="89"/>
  <c r="B53" i="89"/>
  <c r="C53" i="89"/>
  <c r="D53" i="89"/>
  <c r="E53" i="89"/>
  <c r="I53" i="89"/>
  <c r="J53" i="89"/>
  <c r="K53" i="89"/>
  <c r="L53" i="89"/>
  <c r="A54" i="89"/>
  <c r="B54" i="89"/>
  <c r="C54" i="89"/>
  <c r="D54" i="89"/>
  <c r="E54" i="89"/>
  <c r="I54" i="89"/>
  <c r="J54" i="89"/>
  <c r="K54" i="89"/>
  <c r="L54" i="89"/>
  <c r="A55" i="89"/>
  <c r="B55" i="89"/>
  <c r="C55" i="89"/>
  <c r="D55" i="89"/>
  <c r="E55" i="89"/>
  <c r="I55" i="89"/>
  <c r="J55" i="89"/>
  <c r="K55" i="89"/>
  <c r="L55" i="89"/>
  <c r="A56" i="89"/>
  <c r="B56" i="89"/>
  <c r="C56" i="89"/>
  <c r="D56" i="89"/>
  <c r="E56" i="89"/>
  <c r="I56" i="89"/>
  <c r="J56" i="89"/>
  <c r="K56" i="89"/>
  <c r="L56" i="89"/>
  <c r="A57" i="89"/>
  <c r="B57" i="89"/>
  <c r="C57" i="89"/>
  <c r="D57" i="89"/>
  <c r="E57" i="89"/>
  <c r="I57" i="89"/>
  <c r="J57" i="89"/>
  <c r="K57" i="89"/>
  <c r="L57" i="89"/>
  <c r="A3" i="88"/>
  <c r="B3" i="88"/>
  <c r="C3" i="88"/>
  <c r="D3" i="88"/>
  <c r="E3" i="88"/>
  <c r="I3" i="88"/>
  <c r="J3" i="88"/>
  <c r="K3" i="88"/>
  <c r="L3" i="88"/>
  <c r="A4" i="88"/>
  <c r="B4" i="88"/>
  <c r="C4" i="88"/>
  <c r="D4" i="88"/>
  <c r="E4" i="88"/>
  <c r="I4" i="88"/>
  <c r="J4" i="88"/>
  <c r="K4" i="88"/>
  <c r="L4" i="88"/>
  <c r="A5" i="88"/>
  <c r="B5" i="88"/>
  <c r="C5" i="88"/>
  <c r="D5" i="88"/>
  <c r="E5" i="88"/>
  <c r="I5" i="88"/>
  <c r="J5" i="88"/>
  <c r="K5" i="88"/>
  <c r="L5" i="88"/>
  <c r="A6" i="88"/>
  <c r="B6" i="88"/>
  <c r="C6" i="88"/>
  <c r="D6" i="88"/>
  <c r="E6" i="88"/>
  <c r="I6" i="88"/>
  <c r="J6" i="88"/>
  <c r="K6" i="88"/>
  <c r="L6" i="88"/>
  <c r="A7" i="88"/>
  <c r="B7" i="88"/>
  <c r="C7" i="88"/>
  <c r="D7" i="88"/>
  <c r="E7" i="88"/>
  <c r="I7" i="88"/>
  <c r="J7" i="88"/>
  <c r="K7" i="88"/>
  <c r="L7" i="88"/>
  <c r="A8" i="88"/>
  <c r="B8" i="88"/>
  <c r="C8" i="88"/>
  <c r="D8" i="88"/>
  <c r="E8" i="88"/>
  <c r="I8" i="88"/>
  <c r="J8" i="88"/>
  <c r="K8" i="88"/>
  <c r="L8" i="88"/>
  <c r="A9" i="88"/>
  <c r="B9" i="88"/>
  <c r="C9" i="88"/>
  <c r="D9" i="88"/>
  <c r="E9" i="88"/>
  <c r="I9" i="88"/>
  <c r="J9" i="88"/>
  <c r="K9" i="88"/>
  <c r="L9" i="88"/>
  <c r="A10" i="88"/>
  <c r="B10" i="88"/>
  <c r="C10" i="88"/>
  <c r="D10" i="88"/>
  <c r="E10" i="88"/>
  <c r="I10" i="88"/>
  <c r="J10" i="88"/>
  <c r="K10" i="88"/>
  <c r="L10" i="88"/>
  <c r="A11" i="88"/>
  <c r="B11" i="88"/>
  <c r="C11" i="88"/>
  <c r="D11" i="88"/>
  <c r="E11" i="88"/>
  <c r="I11" i="88"/>
  <c r="J11" i="88"/>
  <c r="K11" i="88"/>
  <c r="L11" i="88"/>
  <c r="A12" i="88"/>
  <c r="B12" i="88"/>
  <c r="C12" i="88"/>
  <c r="D12" i="88"/>
  <c r="E12" i="88"/>
  <c r="I12" i="88"/>
  <c r="J12" i="88"/>
  <c r="K12" i="88"/>
  <c r="L12" i="88"/>
  <c r="A13" i="88"/>
  <c r="B13" i="88"/>
  <c r="C13" i="88"/>
  <c r="D13" i="88"/>
  <c r="E13" i="88"/>
  <c r="I13" i="88"/>
  <c r="J13" i="88"/>
  <c r="K13" i="88"/>
  <c r="L13" i="88"/>
  <c r="A14" i="88"/>
  <c r="B14" i="88"/>
  <c r="C14" i="88"/>
  <c r="D14" i="88"/>
  <c r="E14" i="88"/>
  <c r="I14" i="88"/>
  <c r="J14" i="88"/>
  <c r="K14" i="88"/>
  <c r="L14" i="88"/>
  <c r="A15" i="88"/>
  <c r="B15" i="88"/>
  <c r="C15" i="88"/>
  <c r="D15" i="88"/>
  <c r="E15" i="88"/>
  <c r="I15" i="88"/>
  <c r="J15" i="88"/>
  <c r="K15" i="88"/>
  <c r="L15" i="88"/>
  <c r="A16" i="88"/>
  <c r="B16" i="88"/>
  <c r="C16" i="88"/>
  <c r="D16" i="88"/>
  <c r="E16" i="88"/>
  <c r="I16" i="88"/>
  <c r="J16" i="88"/>
  <c r="K16" i="88"/>
  <c r="L16" i="88"/>
  <c r="A17" i="88"/>
  <c r="B17" i="88"/>
  <c r="C17" i="88"/>
  <c r="D17" i="88"/>
  <c r="E17" i="88"/>
  <c r="I17" i="88"/>
  <c r="J17" i="88"/>
  <c r="K17" i="88"/>
  <c r="L17" i="88"/>
  <c r="A18" i="88"/>
  <c r="B18" i="88"/>
  <c r="C18" i="88"/>
  <c r="D18" i="88"/>
  <c r="E18" i="88"/>
  <c r="I18" i="88"/>
  <c r="J18" i="88"/>
  <c r="K18" i="88"/>
  <c r="L18" i="88"/>
  <c r="A19" i="88"/>
  <c r="B19" i="88"/>
  <c r="C19" i="88"/>
  <c r="D19" i="88"/>
  <c r="E19" i="88"/>
  <c r="I19" i="88"/>
  <c r="J19" i="88"/>
  <c r="K19" i="88"/>
  <c r="L19" i="88"/>
  <c r="A20" i="88"/>
  <c r="B20" i="88"/>
  <c r="C20" i="88"/>
  <c r="D20" i="88"/>
  <c r="E20" i="88"/>
  <c r="I20" i="88"/>
  <c r="J20" i="88"/>
  <c r="K20" i="88"/>
  <c r="L20" i="88"/>
  <c r="A21" i="88"/>
  <c r="B21" i="88"/>
  <c r="C21" i="88"/>
  <c r="D21" i="88"/>
  <c r="E21" i="88"/>
  <c r="I21" i="88"/>
  <c r="J21" i="88"/>
  <c r="K21" i="88"/>
  <c r="L21" i="88"/>
  <c r="A22" i="88"/>
  <c r="B22" i="88"/>
  <c r="C22" i="88"/>
  <c r="D22" i="88"/>
  <c r="E22" i="88"/>
  <c r="I22" i="88"/>
  <c r="J22" i="88"/>
  <c r="K22" i="88"/>
  <c r="L22" i="88"/>
  <c r="A23" i="88"/>
  <c r="B23" i="88"/>
  <c r="C23" i="88"/>
  <c r="D23" i="88"/>
  <c r="E23" i="88"/>
  <c r="I23" i="88"/>
  <c r="J23" i="88"/>
  <c r="K23" i="88"/>
  <c r="L23" i="88"/>
  <c r="A24" i="88"/>
  <c r="B24" i="88"/>
  <c r="C24" i="88"/>
  <c r="D24" i="88"/>
  <c r="E24" i="88"/>
  <c r="I24" i="88"/>
  <c r="J24" i="88"/>
  <c r="K24" i="88"/>
  <c r="L24" i="88"/>
  <c r="A25" i="88"/>
  <c r="B25" i="88"/>
  <c r="C25" i="88"/>
  <c r="D25" i="88"/>
  <c r="E25" i="88"/>
  <c r="I25" i="88"/>
  <c r="J25" i="88"/>
  <c r="K25" i="88"/>
  <c r="L25" i="88"/>
  <c r="A26" i="88"/>
  <c r="B26" i="88"/>
  <c r="C26" i="88"/>
  <c r="D26" i="88"/>
  <c r="E26" i="88"/>
  <c r="I26" i="88"/>
  <c r="J26" i="88"/>
  <c r="K26" i="88"/>
  <c r="L26" i="88"/>
  <c r="A27" i="88"/>
  <c r="B27" i="88"/>
  <c r="C27" i="88"/>
  <c r="D27" i="88"/>
  <c r="E27" i="88"/>
  <c r="I27" i="88"/>
  <c r="J27" i="88"/>
  <c r="K27" i="88"/>
  <c r="L27" i="88"/>
  <c r="A28" i="88"/>
  <c r="B28" i="88"/>
  <c r="C28" i="88"/>
  <c r="D28" i="88"/>
  <c r="E28" i="88"/>
  <c r="I28" i="88"/>
  <c r="J28" i="88"/>
  <c r="K28" i="88"/>
  <c r="L28" i="88"/>
  <c r="A29" i="88"/>
  <c r="B29" i="88"/>
  <c r="C29" i="88"/>
  <c r="D29" i="88"/>
  <c r="E29" i="88"/>
  <c r="I29" i="88"/>
  <c r="J29" i="88"/>
  <c r="K29" i="88"/>
  <c r="L29" i="88"/>
  <c r="A3" i="87"/>
  <c r="B3" i="87"/>
  <c r="C3" i="87"/>
  <c r="D3" i="87"/>
  <c r="E3" i="87"/>
  <c r="I3" i="87"/>
  <c r="J3" i="87"/>
  <c r="K3" i="87"/>
  <c r="L3" i="87"/>
  <c r="M3" i="87"/>
  <c r="A4" i="87"/>
  <c r="B4" i="87"/>
  <c r="C4" i="87"/>
  <c r="D4" i="87"/>
  <c r="E4" i="87"/>
  <c r="I4" i="87"/>
  <c r="J4" i="87"/>
  <c r="K4" i="87"/>
  <c r="L4" i="87"/>
  <c r="A5" i="87"/>
  <c r="B5" i="87"/>
  <c r="C5" i="87"/>
  <c r="D5" i="87"/>
  <c r="E5" i="87"/>
  <c r="I5" i="87"/>
  <c r="J5" i="87"/>
  <c r="K5" i="87"/>
  <c r="L5" i="87"/>
  <c r="A6" i="87"/>
  <c r="B6" i="87"/>
  <c r="C6" i="87"/>
  <c r="D6" i="87"/>
  <c r="E6" i="87"/>
  <c r="I6" i="87"/>
  <c r="J6" i="87"/>
  <c r="K6" i="87"/>
  <c r="L6" i="87"/>
  <c r="A7" i="87"/>
  <c r="B7" i="87"/>
  <c r="C7" i="87"/>
  <c r="D7" i="87"/>
  <c r="E7" i="87"/>
  <c r="I7" i="87"/>
  <c r="J7" i="87"/>
  <c r="K7" i="87"/>
  <c r="L7" i="87"/>
  <c r="A8" i="87"/>
  <c r="B8" i="87"/>
  <c r="C8" i="87"/>
  <c r="D8" i="87"/>
  <c r="E8" i="87"/>
  <c r="I8" i="87"/>
  <c r="J8" i="87"/>
  <c r="K8" i="87"/>
  <c r="L8" i="87"/>
  <c r="A9" i="87"/>
  <c r="B9" i="87"/>
  <c r="C9" i="87"/>
  <c r="D9" i="87"/>
  <c r="E9" i="87"/>
  <c r="I9" i="87"/>
  <c r="J9" i="87"/>
  <c r="K9" i="87"/>
  <c r="L9" i="87"/>
  <c r="A10" i="87"/>
  <c r="B10" i="87"/>
  <c r="C10" i="87"/>
  <c r="D10" i="87"/>
  <c r="E10" i="87"/>
  <c r="I10" i="87"/>
  <c r="J10" i="87"/>
  <c r="K10" i="87"/>
  <c r="L10" i="87"/>
  <c r="A11" i="87"/>
  <c r="B11" i="87"/>
  <c r="C11" i="87"/>
  <c r="D11" i="87"/>
  <c r="E11" i="87"/>
  <c r="I11" i="87"/>
  <c r="J11" i="87"/>
  <c r="K11" i="87"/>
  <c r="L11" i="87"/>
  <c r="A12" i="87"/>
  <c r="B12" i="87"/>
  <c r="C12" i="87"/>
  <c r="D12" i="87"/>
  <c r="E12" i="87"/>
  <c r="I12" i="87"/>
  <c r="J12" i="87"/>
  <c r="K12" i="87"/>
  <c r="L12" i="87"/>
  <c r="A13" i="87"/>
  <c r="B13" i="87"/>
  <c r="C13" i="87"/>
  <c r="D13" i="87"/>
  <c r="E13" i="87"/>
  <c r="I13" i="87"/>
  <c r="J13" i="87"/>
  <c r="K13" i="87"/>
  <c r="L13" i="87"/>
  <c r="A14" i="87"/>
  <c r="B14" i="87"/>
  <c r="C14" i="87"/>
  <c r="D14" i="87"/>
  <c r="E14" i="87"/>
  <c r="I14" i="87"/>
  <c r="J14" i="87"/>
  <c r="K14" i="87"/>
  <c r="L14" i="87"/>
  <c r="A15" i="87"/>
  <c r="B15" i="87"/>
  <c r="C15" i="87"/>
  <c r="D15" i="87"/>
  <c r="E15" i="87"/>
  <c r="I15" i="87"/>
  <c r="J15" i="87"/>
  <c r="K15" i="87"/>
  <c r="L15" i="87"/>
  <c r="A16" i="87"/>
  <c r="B16" i="87"/>
  <c r="C16" i="87"/>
  <c r="D16" i="87"/>
  <c r="E16" i="87"/>
  <c r="I16" i="87"/>
  <c r="J16" i="87"/>
  <c r="K16" i="87"/>
  <c r="L16" i="87"/>
  <c r="A17" i="87"/>
  <c r="B17" i="87"/>
  <c r="C17" i="87"/>
  <c r="D17" i="87"/>
  <c r="E17" i="87"/>
  <c r="I17" i="87"/>
  <c r="J17" i="87"/>
  <c r="K17" i="87"/>
  <c r="L17" i="87"/>
  <c r="A18" i="87"/>
  <c r="B18" i="87"/>
  <c r="C18" i="87"/>
  <c r="D18" i="87"/>
  <c r="E18" i="87"/>
  <c r="I18" i="87"/>
  <c r="J18" i="87"/>
  <c r="K18" i="87"/>
  <c r="L18" i="87"/>
  <c r="A19" i="87"/>
  <c r="B19" i="87"/>
  <c r="C19" i="87"/>
  <c r="D19" i="87"/>
  <c r="E19" i="87"/>
  <c r="I19" i="87"/>
  <c r="J19" i="87"/>
  <c r="K19" i="87"/>
  <c r="L19" i="87"/>
  <c r="A20" i="87"/>
  <c r="B20" i="87"/>
  <c r="C20" i="87"/>
  <c r="D20" i="87"/>
  <c r="E20" i="87"/>
  <c r="I20" i="87"/>
  <c r="J20" i="87"/>
  <c r="K20" i="87"/>
  <c r="L20" i="87"/>
  <c r="A21" i="87"/>
  <c r="B21" i="87"/>
  <c r="C21" i="87"/>
  <c r="D21" i="87"/>
  <c r="E21" i="87"/>
  <c r="I21" i="87"/>
  <c r="J21" i="87"/>
  <c r="K21" i="87"/>
  <c r="L21" i="87"/>
  <c r="A22" i="87"/>
  <c r="B22" i="87"/>
  <c r="C22" i="87"/>
  <c r="D22" i="87"/>
  <c r="E22" i="87"/>
  <c r="I22" i="87"/>
  <c r="J22" i="87"/>
  <c r="K22" i="87"/>
  <c r="L22" i="87"/>
  <c r="A23" i="87"/>
  <c r="B23" i="87"/>
  <c r="C23" i="87"/>
  <c r="D23" i="87"/>
  <c r="E23" i="87"/>
  <c r="I23" i="87"/>
  <c r="J23" i="87"/>
  <c r="K23" i="87"/>
  <c r="L23" i="87"/>
  <c r="A24" i="87"/>
  <c r="B24" i="87"/>
  <c r="C24" i="87"/>
  <c r="D24" i="87"/>
  <c r="E24" i="87"/>
  <c r="I24" i="87"/>
  <c r="J24" i="87"/>
  <c r="K24" i="87"/>
  <c r="L24" i="87"/>
  <c r="A25" i="87"/>
  <c r="B25" i="87"/>
  <c r="C25" i="87"/>
  <c r="D25" i="87"/>
  <c r="E25" i="87"/>
  <c r="I25" i="87"/>
  <c r="J25" i="87"/>
  <c r="K25" i="87"/>
  <c r="L25" i="87"/>
  <c r="A26" i="87"/>
  <c r="B26" i="87"/>
  <c r="C26" i="87"/>
  <c r="D26" i="87"/>
  <c r="E26" i="87"/>
  <c r="I26" i="87"/>
  <c r="J26" i="87"/>
  <c r="K26" i="87"/>
  <c r="L26" i="87"/>
  <c r="A27" i="87"/>
  <c r="B27" i="87"/>
  <c r="C27" i="87"/>
  <c r="D27" i="87"/>
  <c r="E27" i="87"/>
  <c r="I27" i="87"/>
  <c r="J27" i="87"/>
  <c r="K27" i="87"/>
  <c r="L27" i="87"/>
  <c r="A28" i="87"/>
  <c r="B28" i="87"/>
  <c r="C28" i="87"/>
  <c r="D28" i="87"/>
  <c r="E28" i="87"/>
  <c r="I28" i="87"/>
  <c r="J28" i="87"/>
  <c r="K28" i="87"/>
  <c r="L28" i="87"/>
  <c r="A29" i="87"/>
  <c r="B29" i="87"/>
  <c r="C29" i="87"/>
  <c r="D29" i="87"/>
  <c r="E29" i="87"/>
  <c r="I29" i="87"/>
  <c r="J29" i="87"/>
  <c r="K29" i="87"/>
  <c r="L29" i="87"/>
  <c r="A30" i="87"/>
  <c r="B30" i="87"/>
  <c r="C30" i="87"/>
  <c r="D30" i="87"/>
  <c r="E30" i="87"/>
  <c r="I30" i="87"/>
  <c r="J30" i="87"/>
  <c r="K30" i="87"/>
  <c r="L30" i="87"/>
  <c r="A31" i="87"/>
  <c r="B31" i="87"/>
  <c r="C31" i="87"/>
  <c r="D31" i="87"/>
  <c r="E31" i="87"/>
  <c r="I31" i="87"/>
  <c r="J31" i="87"/>
  <c r="K31" i="87"/>
  <c r="L31" i="87"/>
  <c r="A32" i="87"/>
  <c r="B32" i="87"/>
  <c r="C32" i="87"/>
  <c r="D32" i="87"/>
  <c r="E32" i="87"/>
  <c r="I32" i="87"/>
  <c r="J32" i="87"/>
  <c r="K32" i="87"/>
  <c r="L32" i="87"/>
  <c r="A33" i="87"/>
  <c r="B33" i="87"/>
  <c r="C33" i="87"/>
  <c r="D33" i="87"/>
  <c r="E33" i="87"/>
  <c r="G33" i="87"/>
  <c r="I33" i="87"/>
  <c r="J33" i="87"/>
  <c r="K33" i="87"/>
  <c r="L33" i="87"/>
  <c r="A34" i="87"/>
  <c r="B34" i="87"/>
  <c r="C34" i="87"/>
  <c r="D34" i="87"/>
  <c r="E34" i="87"/>
  <c r="G34" i="87"/>
  <c r="I34" i="87"/>
  <c r="J34" i="87"/>
  <c r="K34" i="87"/>
  <c r="L34" i="87"/>
  <c r="A35" i="87"/>
  <c r="B35" i="87"/>
  <c r="C35" i="87"/>
  <c r="D35" i="87"/>
  <c r="E35" i="87"/>
  <c r="G35" i="87"/>
  <c r="I35" i="87"/>
  <c r="J35" i="87"/>
  <c r="K35" i="87"/>
  <c r="L35" i="87"/>
  <c r="A36" i="87"/>
  <c r="B36" i="87"/>
  <c r="C36" i="87"/>
  <c r="D36" i="87"/>
  <c r="E36" i="87"/>
  <c r="G36" i="87"/>
  <c r="I36" i="87"/>
  <c r="J36" i="87"/>
  <c r="K36" i="87"/>
  <c r="L36" i="87"/>
  <c r="A37" i="87"/>
  <c r="B37" i="87"/>
  <c r="C37" i="87"/>
  <c r="D37" i="87"/>
  <c r="E37" i="87"/>
  <c r="G37" i="87"/>
  <c r="I37" i="87"/>
  <c r="J37" i="87"/>
  <c r="K37" i="87"/>
  <c r="L37" i="87"/>
  <c r="A38" i="87"/>
  <c r="B38" i="87"/>
  <c r="C38" i="87"/>
  <c r="D38" i="87"/>
  <c r="E38" i="87"/>
  <c r="G38" i="87"/>
  <c r="I38" i="87"/>
  <c r="J38" i="87"/>
  <c r="K38" i="87"/>
  <c r="L38" i="87"/>
  <c r="A39" i="87"/>
  <c r="B39" i="87"/>
  <c r="C39" i="87"/>
  <c r="D39" i="87"/>
  <c r="E39" i="87"/>
  <c r="G39" i="87"/>
  <c r="I39" i="87"/>
  <c r="J39" i="87"/>
  <c r="K39" i="87"/>
  <c r="L39" i="87"/>
  <c r="A40" i="87"/>
  <c r="B40" i="87"/>
  <c r="C40" i="87"/>
  <c r="D40" i="87"/>
  <c r="E40" i="87"/>
  <c r="G40" i="87"/>
  <c r="I40" i="87"/>
  <c r="J40" i="87"/>
  <c r="K40" i="87"/>
  <c r="L40" i="87"/>
  <c r="A41" i="87"/>
  <c r="B41" i="87"/>
  <c r="C41" i="87"/>
  <c r="D41" i="87"/>
  <c r="E41" i="87"/>
  <c r="G41" i="87"/>
  <c r="I41" i="87"/>
  <c r="J41" i="87"/>
  <c r="K41" i="87"/>
  <c r="L41" i="87"/>
  <c r="A42" i="87"/>
  <c r="B42" i="87"/>
  <c r="C42" i="87"/>
  <c r="D42" i="87"/>
  <c r="E42" i="87"/>
  <c r="G42" i="87"/>
  <c r="I42" i="87"/>
  <c r="J42" i="87"/>
  <c r="K42" i="87"/>
  <c r="L42" i="87"/>
  <c r="A43" i="87"/>
  <c r="B43" i="87"/>
  <c r="C43" i="87"/>
  <c r="D43" i="87"/>
  <c r="E43" i="87"/>
  <c r="G43" i="87"/>
  <c r="I43" i="87"/>
  <c r="J43" i="87"/>
  <c r="K43" i="87"/>
  <c r="L43" i="87"/>
  <c r="M43" i="87"/>
  <c r="A44" i="87"/>
  <c r="B44" i="87"/>
  <c r="C44" i="87"/>
  <c r="D44" i="87"/>
  <c r="E44" i="87"/>
  <c r="G44" i="87"/>
  <c r="I44" i="87"/>
  <c r="J44" i="87"/>
  <c r="K44" i="87"/>
  <c r="L44" i="87"/>
  <c r="A45" i="87"/>
  <c r="B45" i="87"/>
  <c r="C45" i="87"/>
  <c r="D45" i="87"/>
  <c r="E45" i="87"/>
  <c r="G45" i="87"/>
  <c r="I45" i="87"/>
  <c r="J45" i="87"/>
  <c r="K45" i="87"/>
  <c r="L45" i="87"/>
  <c r="A46" i="87"/>
  <c r="B46" i="87"/>
  <c r="C46" i="87"/>
  <c r="D46" i="87"/>
  <c r="E46" i="87"/>
  <c r="G46" i="87"/>
  <c r="I46" i="87"/>
  <c r="J46" i="87"/>
  <c r="K46" i="87"/>
  <c r="L46" i="87"/>
  <c r="A47" i="87"/>
  <c r="B47" i="87"/>
  <c r="C47" i="87"/>
  <c r="D47" i="87"/>
  <c r="E47" i="87"/>
  <c r="G47" i="87"/>
  <c r="I47" i="87"/>
  <c r="J47" i="87"/>
  <c r="K47" i="87"/>
  <c r="L47" i="87"/>
  <c r="A48" i="87"/>
  <c r="B48" i="87"/>
  <c r="C48" i="87"/>
  <c r="D48" i="87"/>
  <c r="E48" i="87"/>
  <c r="G48" i="87"/>
  <c r="I48" i="87"/>
  <c r="J48" i="87"/>
  <c r="K48" i="87"/>
  <c r="L48" i="87"/>
  <c r="A49" i="87"/>
  <c r="B49" i="87"/>
  <c r="C49" i="87"/>
  <c r="D49" i="87"/>
  <c r="E49" i="87"/>
  <c r="G49" i="87"/>
  <c r="I49" i="87"/>
  <c r="J49" i="87"/>
  <c r="K49" i="87"/>
  <c r="L49" i="87"/>
  <c r="A50" i="87"/>
  <c r="B50" i="87"/>
  <c r="C50" i="87"/>
  <c r="D50" i="87"/>
  <c r="E50" i="87"/>
  <c r="G50" i="87"/>
  <c r="I50" i="87"/>
  <c r="J50" i="87"/>
  <c r="K50" i="87"/>
  <c r="L50" i="87"/>
  <c r="A51" i="87"/>
  <c r="B51" i="87"/>
  <c r="C51" i="87"/>
  <c r="D51" i="87"/>
  <c r="E51" i="87"/>
  <c r="G51" i="87"/>
  <c r="I51" i="87"/>
  <c r="J51" i="87"/>
  <c r="K51" i="87"/>
  <c r="L51" i="87"/>
  <c r="A52" i="87"/>
  <c r="B52" i="87"/>
  <c r="C52" i="87"/>
  <c r="D52" i="87"/>
  <c r="E52" i="87"/>
  <c r="G52" i="87"/>
  <c r="I52" i="87"/>
  <c r="J52" i="87"/>
  <c r="K52" i="87"/>
  <c r="L52" i="87"/>
  <c r="A53" i="87"/>
  <c r="B53" i="87"/>
  <c r="C53" i="87"/>
  <c r="D53" i="87"/>
  <c r="E53" i="87"/>
  <c r="G53" i="87"/>
  <c r="I53" i="87"/>
  <c r="J53" i="87"/>
  <c r="K53" i="87"/>
  <c r="L53" i="87"/>
  <c r="A54" i="87"/>
  <c r="B54" i="87"/>
  <c r="C54" i="87"/>
  <c r="D54" i="87"/>
  <c r="E54" i="87"/>
  <c r="G54" i="87"/>
  <c r="I54" i="87"/>
  <c r="J54" i="87"/>
  <c r="K54" i="87"/>
  <c r="L54" i="87"/>
  <c r="M54" i="87"/>
  <c r="A55" i="87"/>
  <c r="B55" i="87"/>
  <c r="C55" i="87"/>
  <c r="D55" i="87"/>
  <c r="E55" i="87"/>
  <c r="G55" i="87"/>
  <c r="I55" i="87"/>
  <c r="J55" i="87"/>
  <c r="K55" i="87"/>
  <c r="L55" i="87"/>
  <c r="A56" i="87"/>
  <c r="B56" i="87"/>
  <c r="C56" i="87"/>
  <c r="D56" i="87"/>
  <c r="E56" i="87"/>
  <c r="G56" i="87"/>
  <c r="I56" i="87"/>
  <c r="J56" i="87"/>
  <c r="K56" i="87"/>
  <c r="L56" i="87"/>
  <c r="A57" i="87"/>
  <c r="B57" i="87"/>
  <c r="C57" i="87"/>
  <c r="D57" i="87"/>
  <c r="E57" i="87"/>
  <c r="G57" i="87"/>
  <c r="I57" i="87"/>
  <c r="J57" i="87"/>
  <c r="K57" i="87"/>
  <c r="L57" i="87"/>
  <c r="A58" i="87"/>
  <c r="B58" i="87"/>
  <c r="C58" i="87"/>
  <c r="D58" i="87"/>
  <c r="E58" i="87"/>
  <c r="G58" i="87"/>
  <c r="I58" i="87"/>
  <c r="J58" i="87"/>
  <c r="K58" i="87"/>
  <c r="L58" i="87"/>
  <c r="A59" i="87"/>
  <c r="B59" i="87"/>
  <c r="C59" i="87"/>
  <c r="D59" i="87"/>
  <c r="E59" i="87"/>
  <c r="G59" i="87"/>
  <c r="I59" i="87"/>
  <c r="J59" i="87"/>
  <c r="K59" i="87"/>
  <c r="L59" i="87"/>
  <c r="A60" i="87"/>
  <c r="B60" i="87"/>
  <c r="C60" i="87"/>
  <c r="D60" i="87"/>
  <c r="E60" i="87"/>
  <c r="G60" i="87"/>
  <c r="I60" i="87"/>
  <c r="J60" i="87"/>
  <c r="K60" i="87"/>
  <c r="L60" i="87"/>
  <c r="A61" i="87"/>
  <c r="B61" i="87"/>
  <c r="C61" i="87"/>
  <c r="D61" i="87"/>
  <c r="E61" i="87"/>
  <c r="G61" i="87"/>
  <c r="I61" i="87"/>
  <c r="J61" i="87"/>
  <c r="K61" i="87"/>
  <c r="L61" i="87"/>
  <c r="A62" i="87"/>
  <c r="B62" i="87"/>
  <c r="C62" i="87"/>
  <c r="D62" i="87"/>
  <c r="E62" i="87"/>
  <c r="G62" i="87"/>
  <c r="I62" i="87"/>
  <c r="J62" i="87"/>
  <c r="K62" i="87"/>
  <c r="L62" i="87"/>
  <c r="A63" i="87"/>
  <c r="B63" i="87"/>
  <c r="C63" i="87"/>
  <c r="D63" i="87"/>
  <c r="E63" i="87"/>
  <c r="G63" i="87"/>
  <c r="I63" i="87"/>
  <c r="J63" i="87"/>
  <c r="K63" i="87"/>
  <c r="L63" i="87"/>
  <c r="A64" i="87"/>
  <c r="B64" i="87"/>
  <c r="C64" i="87"/>
  <c r="D64" i="87"/>
  <c r="E64" i="87"/>
  <c r="G64" i="87"/>
  <c r="I64" i="87"/>
  <c r="J64" i="87"/>
  <c r="K64" i="87"/>
  <c r="L64" i="87"/>
  <c r="A65" i="87"/>
  <c r="B65" i="87"/>
  <c r="C65" i="87"/>
  <c r="D65" i="87"/>
  <c r="E65" i="87"/>
  <c r="G65" i="87"/>
  <c r="I65" i="87"/>
  <c r="J65" i="87"/>
  <c r="K65" i="87"/>
  <c r="L65" i="87"/>
  <c r="A66" i="87"/>
  <c r="B66" i="87"/>
  <c r="C66" i="87"/>
  <c r="D66" i="87"/>
  <c r="E66" i="87"/>
  <c r="G66" i="87"/>
  <c r="I66" i="87"/>
  <c r="J66" i="87"/>
  <c r="K66" i="87"/>
  <c r="L66" i="87"/>
  <c r="A67" i="87"/>
  <c r="B67" i="87"/>
  <c r="C67" i="87"/>
  <c r="D67" i="87"/>
  <c r="E67" i="87"/>
  <c r="G67" i="87"/>
  <c r="I67" i="87"/>
  <c r="J67" i="87"/>
  <c r="K67" i="87"/>
  <c r="L67" i="87"/>
  <c r="A68" i="87"/>
  <c r="B68" i="87"/>
  <c r="C68" i="87"/>
  <c r="D68" i="87"/>
  <c r="E68" i="87"/>
  <c r="G68" i="87"/>
  <c r="I68" i="87"/>
  <c r="J68" i="87"/>
  <c r="K68" i="87"/>
  <c r="L68" i="87"/>
  <c r="A69" i="87"/>
  <c r="B69" i="87"/>
  <c r="C69" i="87"/>
  <c r="D69" i="87"/>
  <c r="E69" i="87"/>
  <c r="G69" i="87"/>
  <c r="I69" i="87"/>
  <c r="J69" i="87"/>
  <c r="K69" i="87"/>
  <c r="L69" i="87"/>
  <c r="A70" i="87"/>
  <c r="B70" i="87"/>
  <c r="C70" i="87"/>
  <c r="D70" i="87"/>
  <c r="E70" i="87"/>
  <c r="G70" i="87"/>
  <c r="I70" i="87"/>
  <c r="J70" i="87"/>
  <c r="K70" i="87"/>
  <c r="L70" i="87"/>
  <c r="A71" i="87"/>
  <c r="B71" i="87"/>
  <c r="C71" i="87"/>
  <c r="D71" i="87"/>
  <c r="E71" i="87"/>
  <c r="G71" i="87"/>
  <c r="I71" i="87"/>
  <c r="J71" i="87"/>
  <c r="K71" i="87"/>
  <c r="L71" i="87"/>
  <c r="A72" i="87"/>
  <c r="B72" i="87"/>
  <c r="C72" i="87"/>
  <c r="D72" i="87"/>
  <c r="E72" i="87"/>
  <c r="G72" i="87"/>
  <c r="I72" i="87"/>
  <c r="J72" i="87"/>
  <c r="K72" i="87"/>
  <c r="L72" i="87"/>
  <c r="A73" i="87"/>
  <c r="B73" i="87"/>
  <c r="C73" i="87"/>
  <c r="D73" i="87"/>
  <c r="E73" i="87"/>
  <c r="G73" i="87"/>
  <c r="I73" i="87"/>
  <c r="J73" i="87"/>
  <c r="K73" i="87"/>
  <c r="L73" i="87"/>
  <c r="A74" i="87"/>
  <c r="B74" i="87"/>
  <c r="C74" i="87"/>
  <c r="D74" i="87"/>
  <c r="E74" i="87"/>
  <c r="G74" i="87"/>
  <c r="I74" i="87"/>
  <c r="J74" i="87"/>
  <c r="K74" i="87"/>
  <c r="L74" i="87"/>
  <c r="A75" i="87"/>
  <c r="B75" i="87"/>
  <c r="C75" i="87"/>
  <c r="D75" i="87"/>
  <c r="E75" i="87"/>
  <c r="G75" i="87"/>
  <c r="I75" i="87"/>
  <c r="J75" i="87"/>
  <c r="K75" i="87"/>
  <c r="L75" i="87"/>
  <c r="A76" i="87"/>
  <c r="B76" i="87"/>
  <c r="C76" i="87"/>
  <c r="D76" i="87"/>
  <c r="E76" i="87"/>
  <c r="G76" i="87"/>
  <c r="I76" i="87"/>
  <c r="J76" i="87"/>
  <c r="K76" i="87"/>
  <c r="L76" i="87"/>
  <c r="A77" i="87"/>
  <c r="B77" i="87"/>
  <c r="C77" i="87"/>
  <c r="D77" i="87"/>
  <c r="E77" i="87"/>
  <c r="G77" i="87"/>
  <c r="I77" i="87"/>
  <c r="J77" i="87"/>
  <c r="K77" i="87"/>
  <c r="L77" i="87"/>
  <c r="A3" i="86"/>
  <c r="B3" i="86"/>
  <c r="C3" i="86"/>
  <c r="D3" i="86"/>
  <c r="E3" i="86"/>
  <c r="G3" i="86"/>
  <c r="I3" i="86"/>
  <c r="J3" i="86"/>
  <c r="K3" i="86"/>
  <c r="L3" i="86"/>
  <c r="A4" i="86"/>
  <c r="B4" i="86"/>
  <c r="C4" i="86"/>
  <c r="D4" i="86"/>
  <c r="E4" i="86"/>
  <c r="G4" i="86"/>
  <c r="I4" i="86"/>
  <c r="J4" i="86"/>
  <c r="K4" i="86"/>
  <c r="L4" i="86"/>
  <c r="A5" i="86"/>
  <c r="B5" i="86"/>
  <c r="C5" i="86"/>
  <c r="D5" i="86"/>
  <c r="E5" i="86"/>
  <c r="G5" i="86"/>
  <c r="I5" i="86"/>
  <c r="J5" i="86"/>
  <c r="K5" i="86"/>
  <c r="L5" i="86"/>
  <c r="A6" i="86"/>
  <c r="B6" i="86"/>
  <c r="C6" i="86"/>
  <c r="D6" i="86"/>
  <c r="E6" i="86"/>
  <c r="G6" i="86"/>
  <c r="I6" i="86"/>
  <c r="J6" i="86"/>
  <c r="K6" i="86"/>
  <c r="L6" i="86"/>
  <c r="A7" i="86"/>
  <c r="B7" i="86"/>
  <c r="C7" i="86"/>
  <c r="D7" i="86"/>
  <c r="E7" i="86"/>
  <c r="G7" i="86"/>
  <c r="I7" i="86"/>
  <c r="J7" i="86"/>
  <c r="K7" i="86"/>
  <c r="L7" i="86"/>
  <c r="A8" i="86"/>
  <c r="B8" i="86"/>
  <c r="C8" i="86"/>
  <c r="D8" i="86"/>
  <c r="E8" i="86"/>
  <c r="G8" i="86"/>
  <c r="I8" i="86"/>
  <c r="J8" i="86"/>
  <c r="K8" i="86"/>
  <c r="L8" i="86"/>
  <c r="A9" i="86"/>
  <c r="B9" i="86"/>
  <c r="C9" i="86"/>
  <c r="D9" i="86"/>
  <c r="E9" i="86"/>
  <c r="G9" i="86"/>
  <c r="I9" i="86"/>
  <c r="J9" i="86"/>
  <c r="K9" i="86"/>
  <c r="L9" i="86"/>
  <c r="A10" i="86"/>
  <c r="B10" i="86"/>
  <c r="C10" i="86"/>
  <c r="D10" i="86"/>
  <c r="E10" i="86"/>
  <c r="G10" i="86"/>
  <c r="I10" i="86"/>
  <c r="J10" i="86"/>
  <c r="K10" i="86"/>
  <c r="L10" i="86"/>
  <c r="A11" i="86"/>
  <c r="B11" i="86"/>
  <c r="C11" i="86"/>
  <c r="D11" i="86"/>
  <c r="E11" i="86"/>
  <c r="G11" i="86"/>
  <c r="I11" i="86"/>
  <c r="J11" i="86"/>
  <c r="K11" i="86"/>
  <c r="L11" i="86"/>
  <c r="M11" i="86"/>
  <c r="A12" i="86"/>
  <c r="B12" i="86"/>
  <c r="C12" i="86"/>
  <c r="D12" i="86"/>
  <c r="E12" i="86"/>
  <c r="G12" i="86"/>
  <c r="I12" i="86"/>
  <c r="J12" i="86"/>
  <c r="K12" i="86"/>
  <c r="L12" i="86"/>
  <c r="A13" i="86"/>
  <c r="B13" i="86"/>
  <c r="C13" i="86"/>
  <c r="D13" i="86"/>
  <c r="E13" i="86"/>
  <c r="G13" i="86"/>
  <c r="I13" i="86"/>
  <c r="J13" i="86"/>
  <c r="K13" i="86"/>
  <c r="L13" i="86"/>
  <c r="A14" i="86"/>
  <c r="B14" i="86"/>
  <c r="C14" i="86"/>
  <c r="D14" i="86"/>
  <c r="E14" i="86"/>
  <c r="G14" i="86"/>
  <c r="I14" i="86"/>
  <c r="J14" i="86"/>
  <c r="K14" i="86"/>
  <c r="L14" i="86"/>
  <c r="A15" i="86"/>
  <c r="B15" i="86"/>
  <c r="C15" i="86"/>
  <c r="D15" i="86"/>
  <c r="E15" i="86"/>
  <c r="G15" i="86"/>
  <c r="I15" i="86"/>
  <c r="J15" i="86"/>
  <c r="K15" i="86"/>
  <c r="L15" i="86"/>
  <c r="A16" i="86"/>
  <c r="B16" i="86"/>
  <c r="C16" i="86"/>
  <c r="D16" i="86"/>
  <c r="E16" i="86"/>
  <c r="G16" i="86"/>
  <c r="I16" i="86"/>
  <c r="J16" i="86"/>
  <c r="K16" i="86"/>
  <c r="L16" i="86"/>
  <c r="A17" i="86"/>
  <c r="B17" i="86"/>
  <c r="C17" i="86"/>
  <c r="D17" i="86"/>
  <c r="E17" i="86"/>
  <c r="G17" i="86"/>
  <c r="I17" i="86"/>
  <c r="J17" i="86"/>
  <c r="K17" i="86"/>
  <c r="L17" i="86"/>
  <c r="A18" i="86"/>
  <c r="B18" i="86"/>
  <c r="C18" i="86"/>
  <c r="D18" i="86"/>
  <c r="E18" i="86"/>
  <c r="G18" i="86"/>
  <c r="I18" i="86"/>
  <c r="J18" i="86"/>
  <c r="K18" i="86"/>
  <c r="L18" i="86"/>
  <c r="A19" i="86"/>
  <c r="B19" i="86"/>
  <c r="C19" i="86"/>
  <c r="D19" i="86"/>
  <c r="E19" i="86"/>
  <c r="G19" i="86"/>
  <c r="I19" i="86"/>
  <c r="J19" i="86"/>
  <c r="K19" i="86"/>
  <c r="L19" i="86"/>
  <c r="A20" i="86"/>
  <c r="B20" i="86"/>
  <c r="C20" i="86"/>
  <c r="D20" i="86"/>
  <c r="E20" i="86"/>
  <c r="G20" i="86"/>
  <c r="I20" i="86"/>
  <c r="J20" i="86"/>
  <c r="K20" i="86"/>
  <c r="L20" i="86"/>
  <c r="A21" i="86"/>
  <c r="B21" i="86"/>
  <c r="C21" i="86"/>
  <c r="D21" i="86"/>
  <c r="E21" i="86"/>
  <c r="G21" i="86"/>
  <c r="I21" i="86"/>
  <c r="J21" i="86"/>
  <c r="K21" i="86"/>
  <c r="L21" i="86"/>
  <c r="A22" i="86"/>
  <c r="B22" i="86"/>
  <c r="C22" i="86"/>
  <c r="D22" i="86"/>
  <c r="E22" i="86"/>
  <c r="G22" i="86"/>
  <c r="I22" i="86"/>
  <c r="J22" i="86"/>
  <c r="K22" i="86"/>
  <c r="L22" i="86"/>
  <c r="A23" i="86"/>
  <c r="B23" i="86"/>
  <c r="C23" i="86"/>
  <c r="D23" i="86"/>
  <c r="E23" i="86"/>
  <c r="G23" i="86"/>
  <c r="I23" i="86"/>
  <c r="J23" i="86"/>
  <c r="K23" i="86"/>
  <c r="L23" i="86"/>
  <c r="A24" i="86"/>
  <c r="B24" i="86"/>
  <c r="C24" i="86"/>
  <c r="D24" i="86"/>
  <c r="E24" i="86"/>
  <c r="G24" i="86"/>
  <c r="I24" i="86"/>
  <c r="J24" i="86"/>
  <c r="K24" i="86"/>
  <c r="L24" i="86"/>
  <c r="A25" i="86"/>
  <c r="B25" i="86"/>
  <c r="C25" i="86"/>
  <c r="D25" i="86"/>
  <c r="E25" i="86"/>
  <c r="G25" i="86"/>
  <c r="I25" i="86"/>
  <c r="J25" i="86"/>
  <c r="K25" i="86"/>
  <c r="L25" i="86"/>
  <c r="A26" i="86"/>
  <c r="B26" i="86"/>
  <c r="C26" i="86"/>
  <c r="D26" i="86"/>
  <c r="E26" i="86"/>
  <c r="G26" i="86"/>
  <c r="I26" i="86"/>
  <c r="J26" i="86"/>
  <c r="K26" i="86"/>
  <c r="L26" i="86"/>
  <c r="A27" i="86"/>
  <c r="B27" i="86"/>
  <c r="C27" i="86"/>
  <c r="D27" i="86"/>
  <c r="E27" i="86"/>
  <c r="G27" i="86"/>
  <c r="I27" i="86"/>
  <c r="J27" i="86"/>
  <c r="K27" i="86"/>
  <c r="L27" i="86"/>
  <c r="A28" i="86"/>
  <c r="B28" i="86"/>
  <c r="C28" i="86"/>
  <c r="D28" i="86"/>
  <c r="E28" i="86"/>
  <c r="G28" i="86"/>
  <c r="I28" i="86"/>
  <c r="J28" i="86"/>
  <c r="K28" i="86"/>
  <c r="L28" i="86"/>
  <c r="A29" i="86"/>
  <c r="B29" i="86"/>
  <c r="C29" i="86"/>
  <c r="D29" i="86"/>
  <c r="E29" i="86"/>
  <c r="G29" i="86"/>
  <c r="I29" i="86"/>
  <c r="J29" i="86"/>
  <c r="K29" i="86"/>
  <c r="L29" i="86"/>
  <c r="A30" i="86"/>
  <c r="B30" i="86"/>
  <c r="C30" i="86"/>
  <c r="D30" i="86"/>
  <c r="E30" i="86"/>
  <c r="G30" i="86"/>
  <c r="I30" i="86"/>
  <c r="J30" i="86"/>
  <c r="K30" i="86"/>
  <c r="L30" i="86"/>
  <c r="A31" i="86"/>
  <c r="B31" i="86"/>
  <c r="C31" i="86"/>
  <c r="D31" i="86"/>
  <c r="E31" i="86"/>
  <c r="G31" i="86"/>
  <c r="I31" i="86"/>
  <c r="J31" i="86"/>
  <c r="K31" i="86"/>
  <c r="L31" i="86"/>
  <c r="A32" i="86"/>
  <c r="B32" i="86"/>
  <c r="C32" i="86"/>
  <c r="D32" i="86"/>
  <c r="E32" i="86"/>
  <c r="G32" i="86"/>
  <c r="I32" i="86"/>
  <c r="J32" i="86"/>
  <c r="K32" i="86"/>
  <c r="L32" i="86"/>
  <c r="A33" i="86"/>
  <c r="B33" i="86"/>
  <c r="C33" i="86"/>
  <c r="D33" i="86"/>
  <c r="E33" i="86"/>
  <c r="G33" i="86"/>
  <c r="I33" i="86"/>
  <c r="J33" i="86"/>
  <c r="K33" i="86"/>
  <c r="L33" i="86"/>
  <c r="A34" i="86"/>
  <c r="B34" i="86"/>
  <c r="C34" i="86"/>
  <c r="D34" i="86"/>
  <c r="E34" i="86"/>
  <c r="G34" i="86"/>
  <c r="I34" i="86"/>
  <c r="J34" i="86"/>
  <c r="K34" i="86"/>
  <c r="L34" i="86"/>
  <c r="A35" i="86"/>
  <c r="B35" i="86"/>
  <c r="C35" i="86"/>
  <c r="D35" i="86"/>
  <c r="E35" i="86"/>
  <c r="G35" i="86"/>
  <c r="I35" i="86"/>
  <c r="J35" i="86"/>
  <c r="K35" i="86"/>
  <c r="L35" i="86"/>
  <c r="A36" i="86"/>
  <c r="B36" i="86"/>
  <c r="C36" i="86"/>
  <c r="D36" i="86"/>
  <c r="E36" i="86"/>
  <c r="G36" i="86"/>
  <c r="I36" i="86"/>
  <c r="J36" i="86"/>
  <c r="K36" i="86"/>
  <c r="L36" i="86"/>
  <c r="A37" i="86"/>
  <c r="B37" i="86"/>
  <c r="C37" i="86"/>
  <c r="D37" i="86"/>
  <c r="E37" i="86"/>
  <c r="G37" i="86"/>
  <c r="I37" i="86"/>
  <c r="J37" i="86"/>
  <c r="K37" i="86"/>
  <c r="L37" i="86"/>
  <c r="A38" i="86"/>
  <c r="B38" i="86"/>
  <c r="C38" i="86"/>
  <c r="D38" i="86"/>
  <c r="E38" i="86"/>
  <c r="G38" i="86"/>
  <c r="I38" i="86"/>
  <c r="J38" i="86"/>
  <c r="K38" i="86"/>
  <c r="L38" i="86"/>
  <c r="A39" i="86"/>
  <c r="B39" i="86"/>
  <c r="C39" i="86"/>
  <c r="D39" i="86"/>
  <c r="E39" i="86"/>
  <c r="G39" i="86"/>
  <c r="I39" i="86"/>
  <c r="J39" i="86"/>
  <c r="K39" i="86"/>
  <c r="L39" i="86"/>
  <c r="A40" i="86"/>
  <c r="B40" i="86"/>
  <c r="C40" i="86"/>
  <c r="D40" i="86"/>
  <c r="E40" i="86"/>
  <c r="G40" i="86"/>
  <c r="I40" i="86"/>
  <c r="J40" i="86"/>
  <c r="K40" i="86"/>
  <c r="L40" i="86"/>
  <c r="A41" i="86"/>
  <c r="B41" i="86"/>
  <c r="C41" i="86"/>
  <c r="D41" i="86"/>
  <c r="E41" i="86"/>
  <c r="G41" i="86"/>
  <c r="I41" i="86"/>
  <c r="J41" i="86"/>
  <c r="K41" i="86"/>
  <c r="L41" i="86"/>
  <c r="A42" i="86"/>
  <c r="B42" i="86"/>
  <c r="C42" i="86"/>
  <c r="D42" i="86"/>
  <c r="E42" i="86"/>
  <c r="G42" i="86"/>
  <c r="I42" i="86"/>
  <c r="J42" i="86"/>
  <c r="K42" i="86"/>
  <c r="L42" i="86"/>
  <c r="A43" i="86"/>
  <c r="B43" i="86"/>
  <c r="C43" i="86"/>
  <c r="D43" i="86"/>
  <c r="E43" i="86"/>
  <c r="G43" i="86"/>
  <c r="I43" i="86"/>
  <c r="J43" i="86"/>
  <c r="K43" i="86"/>
  <c r="L43" i="86"/>
  <c r="M43" i="86"/>
  <c r="A44" i="86"/>
  <c r="B44" i="86"/>
  <c r="C44" i="86"/>
  <c r="D44" i="86"/>
  <c r="E44" i="86"/>
  <c r="G44" i="86"/>
  <c r="I44" i="86"/>
  <c r="J44" i="86"/>
  <c r="K44" i="86"/>
  <c r="L44" i="86"/>
  <c r="A45" i="86"/>
  <c r="B45" i="86"/>
  <c r="C45" i="86"/>
  <c r="D45" i="86"/>
  <c r="E45" i="86"/>
  <c r="G45" i="86"/>
  <c r="I45" i="86"/>
  <c r="J45" i="86"/>
  <c r="K45" i="86"/>
  <c r="L45" i="86"/>
  <c r="A46" i="86"/>
  <c r="B46" i="86"/>
  <c r="C46" i="86"/>
  <c r="D46" i="86"/>
  <c r="E46" i="86"/>
  <c r="G46" i="86"/>
  <c r="I46" i="86"/>
  <c r="J46" i="86"/>
  <c r="K46" i="86"/>
  <c r="L46" i="86"/>
  <c r="A47" i="86"/>
  <c r="B47" i="86"/>
  <c r="C47" i="86"/>
  <c r="D47" i="86"/>
  <c r="E47" i="86"/>
  <c r="G47" i="86"/>
  <c r="I47" i="86"/>
  <c r="J47" i="86"/>
  <c r="K47" i="86"/>
  <c r="L47" i="86"/>
  <c r="A48" i="86"/>
  <c r="B48" i="86"/>
  <c r="C48" i="86"/>
  <c r="D48" i="86"/>
  <c r="E48" i="86"/>
  <c r="G48" i="86"/>
  <c r="I48" i="86"/>
  <c r="J48" i="86"/>
  <c r="K48" i="86"/>
  <c r="L48" i="86"/>
  <c r="A49" i="86"/>
  <c r="B49" i="86"/>
  <c r="C49" i="86"/>
  <c r="D49" i="86"/>
  <c r="E49" i="86"/>
  <c r="G49" i="86"/>
  <c r="I49" i="86"/>
  <c r="J49" i="86"/>
  <c r="K49" i="86"/>
  <c r="L49" i="86"/>
  <c r="A50" i="86"/>
  <c r="B50" i="86"/>
  <c r="C50" i="86"/>
  <c r="D50" i="86"/>
  <c r="E50" i="86"/>
  <c r="G50" i="86"/>
  <c r="I50" i="86"/>
  <c r="J50" i="86"/>
  <c r="K50" i="86"/>
  <c r="L50" i="86"/>
  <c r="A51" i="86"/>
  <c r="B51" i="86"/>
  <c r="C51" i="86"/>
  <c r="D51" i="86"/>
  <c r="E51" i="86"/>
  <c r="G51" i="86"/>
  <c r="I51" i="86"/>
  <c r="J51" i="86"/>
  <c r="K51" i="86"/>
  <c r="L51" i="86"/>
  <c r="A52" i="86"/>
  <c r="B52" i="86"/>
  <c r="C52" i="86"/>
  <c r="D52" i="86"/>
  <c r="E52" i="86"/>
  <c r="G52" i="86"/>
  <c r="I52" i="86"/>
  <c r="J52" i="86"/>
  <c r="K52" i="86"/>
  <c r="L52" i="86"/>
  <c r="A53" i="86"/>
  <c r="B53" i="86"/>
  <c r="C53" i="86"/>
  <c r="D53" i="86"/>
  <c r="E53" i="86"/>
  <c r="G53" i="86"/>
  <c r="I53" i="86"/>
  <c r="J53" i="86"/>
  <c r="K53" i="86"/>
  <c r="L53" i="86"/>
  <c r="A3" i="85"/>
  <c r="B3" i="85"/>
  <c r="C3" i="85"/>
  <c r="D3" i="85"/>
  <c r="E3" i="85"/>
  <c r="G3" i="85"/>
  <c r="I3" i="85"/>
  <c r="J3" i="85"/>
  <c r="K3" i="85"/>
  <c r="L3" i="85"/>
  <c r="A4" i="85"/>
  <c r="B4" i="85"/>
  <c r="C4" i="85"/>
  <c r="D4" i="85"/>
  <c r="E4" i="85"/>
  <c r="G4" i="85"/>
  <c r="I4" i="85"/>
  <c r="J4" i="85"/>
  <c r="K4" i="85"/>
  <c r="L4" i="85"/>
  <c r="A5" i="85"/>
  <c r="B5" i="85"/>
  <c r="C5" i="85"/>
  <c r="D5" i="85"/>
  <c r="E5" i="85"/>
  <c r="G5" i="85"/>
  <c r="I5" i="85"/>
  <c r="J5" i="85"/>
  <c r="K5" i="85"/>
  <c r="L5" i="85"/>
  <c r="A6" i="85"/>
  <c r="B6" i="85"/>
  <c r="C6" i="85"/>
  <c r="D6" i="85"/>
  <c r="E6" i="85"/>
  <c r="G6" i="85"/>
  <c r="I6" i="85"/>
  <c r="J6" i="85"/>
  <c r="K6" i="85"/>
  <c r="L6" i="85"/>
  <c r="A7" i="85"/>
  <c r="B7" i="85"/>
  <c r="C7" i="85"/>
  <c r="D7" i="85"/>
  <c r="E7" i="85"/>
  <c r="G7" i="85"/>
  <c r="I7" i="85"/>
  <c r="J7" i="85"/>
  <c r="K7" i="85"/>
  <c r="L7" i="85"/>
  <c r="A8" i="85"/>
  <c r="B8" i="85"/>
  <c r="C8" i="85"/>
  <c r="D8" i="85"/>
  <c r="E8" i="85"/>
  <c r="G8" i="85"/>
  <c r="I8" i="85"/>
  <c r="J8" i="85"/>
  <c r="K8" i="85"/>
  <c r="L8" i="85"/>
  <c r="A9" i="85"/>
  <c r="B9" i="85"/>
  <c r="C9" i="85"/>
  <c r="D9" i="85"/>
  <c r="E9" i="85"/>
  <c r="G9" i="85"/>
  <c r="I9" i="85"/>
  <c r="J9" i="85"/>
  <c r="K9" i="85"/>
  <c r="L9" i="85"/>
  <c r="A10" i="85"/>
  <c r="B10" i="85"/>
  <c r="C10" i="85"/>
  <c r="D10" i="85"/>
  <c r="E10" i="85"/>
  <c r="G10" i="85"/>
  <c r="I10" i="85"/>
  <c r="J10" i="85"/>
  <c r="K10" i="85"/>
  <c r="L10" i="85"/>
  <c r="A11" i="85"/>
  <c r="B11" i="85"/>
  <c r="C11" i="85"/>
  <c r="D11" i="85"/>
  <c r="E11" i="85"/>
  <c r="G11" i="85"/>
  <c r="I11" i="85"/>
  <c r="J11" i="85"/>
  <c r="K11" i="85"/>
  <c r="L11" i="85"/>
  <c r="A12" i="85"/>
  <c r="B12" i="85"/>
  <c r="C12" i="85"/>
  <c r="D12" i="85"/>
  <c r="E12" i="85"/>
  <c r="G12" i="85"/>
  <c r="I12" i="85"/>
  <c r="J12" i="85"/>
  <c r="K12" i="85"/>
  <c r="L12" i="85"/>
  <c r="A13" i="85"/>
  <c r="B13" i="85"/>
  <c r="C13" i="85"/>
  <c r="D13" i="85"/>
  <c r="E13" i="85"/>
  <c r="G13" i="85"/>
  <c r="I13" i="85"/>
  <c r="J13" i="85"/>
  <c r="K13" i="85"/>
  <c r="L13" i="85"/>
  <c r="A14" i="85"/>
  <c r="B14" i="85"/>
  <c r="C14" i="85"/>
  <c r="D14" i="85"/>
  <c r="E14" i="85"/>
  <c r="G14" i="85"/>
  <c r="I14" i="85"/>
  <c r="J14" i="85"/>
  <c r="K14" i="85"/>
  <c r="L14" i="85"/>
  <c r="A15" i="85"/>
  <c r="B15" i="85"/>
  <c r="C15" i="85"/>
  <c r="D15" i="85"/>
  <c r="E15" i="85"/>
  <c r="G15" i="85"/>
  <c r="I15" i="85"/>
  <c r="J15" i="85"/>
  <c r="K15" i="85"/>
  <c r="L15" i="85"/>
  <c r="A16" i="85"/>
  <c r="B16" i="85"/>
  <c r="C16" i="85"/>
  <c r="D16" i="85"/>
  <c r="E16" i="85"/>
  <c r="G16" i="85"/>
  <c r="I16" i="85"/>
  <c r="J16" i="85"/>
  <c r="K16" i="85"/>
  <c r="L16" i="85"/>
  <c r="A17" i="85"/>
  <c r="B17" i="85"/>
  <c r="C17" i="85"/>
  <c r="D17" i="85"/>
  <c r="E17" i="85"/>
  <c r="G17" i="85"/>
  <c r="I17" i="85"/>
  <c r="J17" i="85"/>
  <c r="K17" i="85"/>
  <c r="L17" i="85"/>
  <c r="A18" i="85"/>
  <c r="B18" i="85"/>
  <c r="C18" i="85"/>
  <c r="D18" i="85"/>
  <c r="E18" i="85"/>
  <c r="G18" i="85"/>
  <c r="I18" i="85"/>
  <c r="J18" i="85"/>
  <c r="K18" i="85"/>
  <c r="L18" i="85"/>
  <c r="A19" i="85"/>
  <c r="B19" i="85"/>
  <c r="C19" i="85"/>
  <c r="D19" i="85"/>
  <c r="E19" i="85"/>
  <c r="G19" i="85"/>
  <c r="I19" i="85"/>
  <c r="J19" i="85"/>
  <c r="K19" i="85"/>
  <c r="L19" i="85"/>
  <c r="A20" i="85"/>
  <c r="B20" i="85"/>
  <c r="C20" i="85"/>
  <c r="D20" i="85"/>
  <c r="E20" i="85"/>
  <c r="G20" i="85"/>
  <c r="I20" i="85"/>
  <c r="J20" i="85"/>
  <c r="K20" i="85"/>
  <c r="L20" i="85"/>
  <c r="A21" i="85"/>
  <c r="B21" i="85"/>
  <c r="C21" i="85"/>
  <c r="D21" i="85"/>
  <c r="E21" i="85"/>
  <c r="G21" i="85"/>
  <c r="I21" i="85"/>
  <c r="J21" i="85"/>
  <c r="K21" i="85"/>
  <c r="L21" i="85"/>
  <c r="A22" i="85"/>
  <c r="B22" i="85"/>
  <c r="C22" i="85"/>
  <c r="D22" i="85"/>
  <c r="E22" i="85"/>
  <c r="G22" i="85"/>
  <c r="I22" i="85"/>
  <c r="J22" i="85"/>
  <c r="K22" i="85"/>
  <c r="L22" i="85"/>
  <c r="A23" i="85"/>
  <c r="B23" i="85"/>
  <c r="C23" i="85"/>
  <c r="D23" i="85"/>
  <c r="E23" i="85"/>
  <c r="G23" i="85"/>
  <c r="I23" i="85"/>
  <c r="J23" i="85"/>
  <c r="K23" i="85"/>
  <c r="L23" i="85"/>
  <c r="A24" i="85"/>
  <c r="B24" i="85"/>
  <c r="C24" i="85"/>
  <c r="D24" i="85"/>
  <c r="E24" i="85"/>
  <c r="G24" i="85"/>
  <c r="I24" i="85"/>
  <c r="J24" i="85"/>
  <c r="K24" i="85"/>
  <c r="L24" i="85"/>
  <c r="M24" i="85"/>
  <c r="A25" i="85"/>
  <c r="B25" i="85"/>
  <c r="C25" i="85"/>
  <c r="D25" i="85"/>
  <c r="E25" i="85"/>
  <c r="G25" i="85"/>
  <c r="I25" i="85"/>
  <c r="J25" i="85"/>
  <c r="K25" i="85"/>
  <c r="L25" i="85"/>
  <c r="A26" i="85"/>
  <c r="B26" i="85"/>
  <c r="C26" i="85"/>
  <c r="D26" i="85"/>
  <c r="E26" i="85"/>
  <c r="G26" i="85"/>
  <c r="I26" i="85"/>
  <c r="J26" i="85"/>
  <c r="K26" i="85"/>
  <c r="L26" i="85"/>
  <c r="A27" i="85"/>
  <c r="B27" i="85"/>
  <c r="C27" i="85"/>
  <c r="D27" i="85"/>
  <c r="E27" i="85"/>
  <c r="G27" i="85"/>
  <c r="I27" i="85"/>
  <c r="J27" i="85"/>
  <c r="K27" i="85"/>
  <c r="L27" i="85"/>
  <c r="A28" i="85"/>
  <c r="B28" i="85"/>
  <c r="C28" i="85"/>
  <c r="D28" i="85"/>
  <c r="E28" i="85"/>
  <c r="G28" i="85"/>
  <c r="I28" i="85"/>
  <c r="J28" i="85"/>
  <c r="K28" i="85"/>
  <c r="L28" i="85"/>
  <c r="A29" i="85"/>
  <c r="B29" i="85"/>
  <c r="C29" i="85"/>
  <c r="D29" i="85"/>
  <c r="E29" i="85"/>
  <c r="G29" i="85"/>
  <c r="I29" i="85"/>
  <c r="J29" i="85"/>
  <c r="K29" i="85"/>
  <c r="L29" i="85"/>
  <c r="A30" i="85"/>
  <c r="B30" i="85"/>
  <c r="C30" i="85"/>
  <c r="D30" i="85"/>
  <c r="E30" i="85"/>
  <c r="G30" i="85"/>
  <c r="I30" i="85"/>
  <c r="J30" i="85"/>
  <c r="K30" i="85"/>
  <c r="L30" i="85"/>
  <c r="A31" i="85"/>
  <c r="B31" i="85"/>
  <c r="C31" i="85"/>
  <c r="D31" i="85"/>
  <c r="E31" i="85"/>
  <c r="G31" i="85"/>
  <c r="I31" i="85"/>
  <c r="J31" i="85"/>
  <c r="K31" i="85"/>
  <c r="L31" i="85"/>
  <c r="A32" i="85"/>
  <c r="B32" i="85"/>
  <c r="C32" i="85"/>
  <c r="D32" i="85"/>
  <c r="E32" i="85"/>
  <c r="G32" i="85"/>
  <c r="I32" i="85"/>
  <c r="J32" i="85"/>
  <c r="K32" i="85"/>
  <c r="L32" i="85"/>
  <c r="A33" i="85"/>
  <c r="B33" i="85"/>
  <c r="C33" i="85"/>
  <c r="D33" i="85"/>
  <c r="E33" i="85"/>
  <c r="G33" i="85"/>
  <c r="I33" i="85"/>
  <c r="J33" i="85"/>
  <c r="K33" i="85"/>
  <c r="L33" i="85"/>
  <c r="A34" i="85"/>
  <c r="B34" i="85"/>
  <c r="C34" i="85"/>
  <c r="D34" i="85"/>
  <c r="E34" i="85"/>
  <c r="G34" i="85"/>
  <c r="I34" i="85"/>
  <c r="J34" i="85"/>
  <c r="K34" i="85"/>
  <c r="L34" i="85"/>
  <c r="A35" i="85"/>
  <c r="B35" i="85"/>
  <c r="C35" i="85"/>
  <c r="D35" i="85"/>
  <c r="E35" i="85"/>
  <c r="G35" i="85"/>
  <c r="I35" i="85"/>
  <c r="J35" i="85"/>
  <c r="K35" i="85"/>
  <c r="L35" i="85"/>
  <c r="A36" i="85"/>
  <c r="B36" i="85"/>
  <c r="C36" i="85"/>
  <c r="D36" i="85"/>
  <c r="E36" i="85"/>
  <c r="G36" i="85"/>
  <c r="I36" i="85"/>
  <c r="J36" i="85"/>
  <c r="K36" i="85"/>
  <c r="L36" i="85"/>
  <c r="A37" i="85"/>
  <c r="B37" i="85"/>
  <c r="C37" i="85"/>
  <c r="D37" i="85"/>
  <c r="E37" i="85"/>
  <c r="G37" i="85"/>
  <c r="I37" i="85"/>
  <c r="J37" i="85"/>
  <c r="K37" i="85"/>
  <c r="L37" i="85"/>
  <c r="A38" i="85"/>
  <c r="B38" i="85"/>
  <c r="C38" i="85"/>
  <c r="D38" i="85"/>
  <c r="E38" i="85"/>
  <c r="G38" i="85"/>
  <c r="I38" i="85"/>
  <c r="J38" i="85"/>
  <c r="K38" i="85"/>
  <c r="L38" i="85"/>
  <c r="A39" i="85"/>
  <c r="B39" i="85"/>
  <c r="C39" i="85"/>
  <c r="D39" i="85"/>
  <c r="E39" i="85"/>
  <c r="G39" i="85"/>
  <c r="I39" i="85"/>
  <c r="J39" i="85"/>
  <c r="K39" i="85"/>
  <c r="L39" i="85"/>
  <c r="A40" i="85"/>
  <c r="B40" i="85"/>
  <c r="C40" i="85"/>
  <c r="D40" i="85"/>
  <c r="E40" i="85"/>
  <c r="G40" i="85"/>
  <c r="I40" i="85"/>
  <c r="J40" i="85"/>
  <c r="K40" i="85"/>
  <c r="L40" i="85"/>
  <c r="A41" i="85"/>
  <c r="B41" i="85"/>
  <c r="C41" i="85"/>
  <c r="D41" i="85"/>
  <c r="E41" i="85"/>
  <c r="G41" i="85"/>
  <c r="I41" i="85"/>
  <c r="J41" i="85"/>
  <c r="K41" i="85"/>
  <c r="L41" i="85"/>
  <c r="A42" i="85"/>
  <c r="B42" i="85"/>
  <c r="C42" i="85"/>
  <c r="D42" i="85"/>
  <c r="E42" i="85"/>
  <c r="G42" i="85"/>
  <c r="I42" i="85"/>
  <c r="J42" i="85"/>
  <c r="K42" i="85"/>
  <c r="L42" i="85"/>
  <c r="A43" i="85"/>
  <c r="B43" i="85"/>
  <c r="C43" i="85"/>
  <c r="D43" i="85"/>
  <c r="E43" i="85"/>
  <c r="G43" i="85"/>
  <c r="I43" i="85"/>
  <c r="J43" i="85"/>
  <c r="K43" i="85"/>
  <c r="L43" i="85"/>
  <c r="A44" i="85"/>
  <c r="B44" i="85"/>
  <c r="C44" i="85"/>
  <c r="D44" i="85"/>
  <c r="E44" i="85"/>
  <c r="G44" i="85"/>
  <c r="I44" i="85"/>
  <c r="J44" i="85"/>
  <c r="K44" i="85"/>
  <c r="L44" i="85"/>
  <c r="A45" i="85"/>
  <c r="B45" i="85"/>
  <c r="C45" i="85"/>
  <c r="D45" i="85"/>
  <c r="E45" i="85"/>
  <c r="G45" i="85"/>
  <c r="I45" i="85"/>
  <c r="J45" i="85"/>
  <c r="K45" i="85"/>
  <c r="L45" i="85"/>
  <c r="A46" i="85"/>
  <c r="B46" i="85"/>
  <c r="C46" i="85"/>
  <c r="D46" i="85"/>
  <c r="E46" i="85"/>
  <c r="G46" i="85"/>
  <c r="I46" i="85"/>
  <c r="J46" i="85"/>
  <c r="K46" i="85"/>
  <c r="L46" i="85"/>
  <c r="A47" i="85"/>
  <c r="B47" i="85"/>
  <c r="C47" i="85"/>
  <c r="D47" i="85"/>
  <c r="E47" i="85"/>
  <c r="G47" i="85"/>
  <c r="I47" i="85"/>
  <c r="J47" i="85"/>
  <c r="K47" i="85"/>
  <c r="L47" i="85"/>
  <c r="A48" i="85"/>
  <c r="B48" i="85"/>
  <c r="C48" i="85"/>
  <c r="D48" i="85"/>
  <c r="E48" i="85"/>
  <c r="G48" i="85"/>
  <c r="I48" i="85"/>
  <c r="J48" i="85"/>
  <c r="K48" i="85"/>
  <c r="L48" i="85"/>
  <c r="A49" i="85"/>
  <c r="B49" i="85"/>
  <c r="C49" i="85"/>
  <c r="D49" i="85"/>
  <c r="E49" i="85"/>
  <c r="G49" i="85"/>
  <c r="I49" i="85"/>
  <c r="J49" i="85"/>
  <c r="K49" i="85"/>
  <c r="L49" i="85"/>
  <c r="A50" i="85"/>
  <c r="B50" i="85"/>
  <c r="C50" i="85"/>
  <c r="D50" i="85"/>
  <c r="E50" i="85"/>
  <c r="G50" i="85"/>
  <c r="I50" i="85"/>
  <c r="J50" i="85"/>
  <c r="K50" i="85"/>
  <c r="L50" i="85"/>
  <c r="A51" i="85"/>
  <c r="B51" i="85"/>
  <c r="C51" i="85"/>
  <c r="D51" i="85"/>
  <c r="E51" i="85"/>
  <c r="G51" i="85"/>
  <c r="I51" i="85"/>
  <c r="J51" i="85"/>
  <c r="K51" i="85"/>
  <c r="L51" i="85"/>
  <c r="A52" i="85"/>
  <c r="B52" i="85"/>
  <c r="C52" i="85"/>
  <c r="D52" i="85"/>
  <c r="E52" i="85"/>
  <c r="G52" i="85"/>
  <c r="I52" i="85"/>
  <c r="J52" i="85"/>
  <c r="K52" i="85"/>
  <c r="L52" i="85"/>
  <c r="A53" i="85"/>
  <c r="B53" i="85"/>
  <c r="C53" i="85"/>
  <c r="D53" i="85"/>
  <c r="E53" i="85"/>
  <c r="G53" i="85"/>
  <c r="I53" i="85"/>
  <c r="J53" i="85"/>
  <c r="K53" i="85"/>
  <c r="L53" i="85"/>
  <c r="A54" i="85"/>
  <c r="B54" i="85"/>
  <c r="C54" i="85"/>
  <c r="D54" i="85"/>
  <c r="E54" i="85"/>
  <c r="G54" i="85"/>
  <c r="I54" i="85"/>
  <c r="J54" i="85"/>
  <c r="K54" i="85"/>
  <c r="L54" i="85"/>
  <c r="A55" i="85"/>
  <c r="B55" i="85"/>
  <c r="C55" i="85"/>
  <c r="D55" i="85"/>
  <c r="E55" i="85"/>
  <c r="G55" i="85"/>
  <c r="I55" i="85"/>
  <c r="J55" i="85"/>
  <c r="K55" i="85"/>
  <c r="L55" i="85"/>
  <c r="A56" i="85"/>
  <c r="B56" i="85"/>
  <c r="C56" i="85"/>
  <c r="D56" i="85"/>
  <c r="E56" i="85"/>
  <c r="G56" i="85"/>
  <c r="I56" i="85"/>
  <c r="J56" i="85"/>
  <c r="K56" i="85"/>
  <c r="L56" i="85"/>
  <c r="A57" i="85"/>
  <c r="B57" i="85"/>
  <c r="C57" i="85"/>
  <c r="D57" i="85"/>
  <c r="E57" i="85"/>
  <c r="G57" i="85"/>
  <c r="I57" i="85"/>
  <c r="J57" i="85"/>
  <c r="K57" i="85"/>
  <c r="L57" i="85"/>
  <c r="A58" i="85"/>
  <c r="B58" i="85"/>
  <c r="C58" i="85"/>
  <c r="D58" i="85"/>
  <c r="E58" i="85"/>
  <c r="G58" i="85"/>
  <c r="I58" i="85"/>
  <c r="J58" i="85"/>
  <c r="K58" i="85"/>
  <c r="L58" i="85"/>
  <c r="A59" i="85"/>
  <c r="B59" i="85"/>
  <c r="C59" i="85"/>
  <c r="D59" i="85"/>
  <c r="E59" i="85"/>
  <c r="G59" i="85"/>
  <c r="I59" i="85"/>
  <c r="J59" i="85"/>
  <c r="K59" i="85"/>
  <c r="L59" i="85"/>
  <c r="A60" i="85"/>
  <c r="B60" i="85"/>
  <c r="C60" i="85"/>
  <c r="D60" i="85"/>
  <c r="E60" i="85"/>
  <c r="G60" i="85"/>
  <c r="I60" i="85"/>
  <c r="J60" i="85"/>
  <c r="K60" i="85"/>
  <c r="L60" i="85"/>
  <c r="A61" i="85"/>
  <c r="B61" i="85"/>
  <c r="C61" i="85"/>
  <c r="D61" i="85"/>
  <c r="E61" i="85"/>
  <c r="G61" i="85"/>
  <c r="I61" i="85"/>
  <c r="J61" i="85"/>
  <c r="K61" i="85"/>
  <c r="L61" i="85"/>
  <c r="A62" i="85"/>
  <c r="B62" i="85"/>
  <c r="C62" i="85"/>
  <c r="D62" i="85"/>
  <c r="E62" i="85"/>
  <c r="G62" i="85"/>
  <c r="I62" i="85"/>
  <c r="J62" i="85"/>
  <c r="K62" i="85"/>
  <c r="L62" i="85"/>
  <c r="A63" i="85"/>
  <c r="B63" i="85"/>
  <c r="C63" i="85"/>
  <c r="D63" i="85"/>
  <c r="E63" i="85"/>
  <c r="G63" i="85"/>
  <c r="I63" i="85"/>
  <c r="J63" i="85"/>
  <c r="K63" i="85"/>
  <c r="L63" i="85"/>
  <c r="M63" i="85"/>
  <c r="A64" i="85"/>
  <c r="B64" i="85"/>
  <c r="C64" i="85"/>
  <c r="D64" i="85"/>
  <c r="E64" i="85"/>
  <c r="G64" i="85"/>
  <c r="I64" i="85"/>
  <c r="J64" i="85"/>
  <c r="K64" i="85"/>
  <c r="L64" i="85"/>
  <c r="A65" i="85"/>
  <c r="B65" i="85"/>
  <c r="C65" i="85"/>
  <c r="D65" i="85"/>
  <c r="E65" i="85"/>
  <c r="G65" i="85"/>
  <c r="I65" i="85"/>
  <c r="J65" i="85"/>
  <c r="K65" i="85"/>
  <c r="L65" i="85"/>
  <c r="A66" i="85"/>
  <c r="B66" i="85"/>
  <c r="C66" i="85"/>
  <c r="D66" i="85"/>
  <c r="E66" i="85"/>
  <c r="G66" i="85"/>
  <c r="I66" i="85"/>
  <c r="J66" i="85"/>
  <c r="K66" i="85"/>
  <c r="L66" i="85"/>
  <c r="A67" i="85"/>
  <c r="B67" i="85"/>
  <c r="C67" i="85"/>
  <c r="D67" i="85"/>
  <c r="E67" i="85"/>
  <c r="G67" i="85"/>
  <c r="I67" i="85"/>
  <c r="J67" i="85"/>
  <c r="K67" i="85"/>
  <c r="L67" i="85"/>
  <c r="A68" i="85"/>
  <c r="B68" i="85"/>
  <c r="C68" i="85"/>
  <c r="D68" i="85"/>
  <c r="E68" i="85"/>
  <c r="G68" i="85"/>
  <c r="I68" i="85"/>
  <c r="J68" i="85"/>
  <c r="K68" i="85"/>
  <c r="L68" i="85"/>
  <c r="A69" i="85"/>
  <c r="B69" i="85"/>
  <c r="C69" i="85"/>
  <c r="D69" i="85"/>
  <c r="E69" i="85"/>
  <c r="G69" i="85"/>
  <c r="H69" i="85"/>
  <c r="I69" i="85"/>
  <c r="J69" i="85"/>
  <c r="K69" i="85"/>
  <c r="L69" i="85"/>
  <c r="A70" i="85"/>
  <c r="B70" i="85"/>
  <c r="C70" i="85"/>
  <c r="D70" i="85"/>
  <c r="E70" i="85"/>
  <c r="G70" i="85"/>
  <c r="H70" i="85"/>
  <c r="I70" i="85"/>
  <c r="J70" i="85"/>
  <c r="K70" i="85"/>
  <c r="L70" i="85"/>
  <c r="A71" i="85"/>
  <c r="B71" i="85"/>
  <c r="C71" i="85"/>
  <c r="D71" i="85"/>
  <c r="E71" i="85"/>
  <c r="G71" i="85"/>
  <c r="H71" i="85"/>
  <c r="I71" i="85"/>
  <c r="J71" i="85"/>
  <c r="K71" i="85"/>
  <c r="L71" i="85"/>
  <c r="A72" i="85"/>
  <c r="B72" i="85"/>
  <c r="C72" i="85"/>
  <c r="D72" i="85"/>
  <c r="E72" i="85"/>
  <c r="G72" i="85"/>
  <c r="H72" i="85"/>
  <c r="I72" i="85"/>
  <c r="J72" i="85"/>
  <c r="K72" i="85"/>
  <c r="L72" i="85"/>
  <c r="A73" i="85"/>
  <c r="B73" i="85"/>
  <c r="C73" i="85"/>
  <c r="D73" i="85"/>
  <c r="E73" i="85"/>
  <c r="G73" i="85"/>
  <c r="H73" i="85"/>
  <c r="I73" i="85"/>
  <c r="J73" i="85"/>
  <c r="K73" i="85"/>
  <c r="L73" i="85"/>
  <c r="A74" i="85"/>
  <c r="B74" i="85"/>
  <c r="C74" i="85"/>
  <c r="D74" i="85"/>
  <c r="E74" i="85"/>
  <c r="G74" i="85"/>
  <c r="H74" i="85"/>
  <c r="I74" i="85"/>
  <c r="J74" i="85"/>
  <c r="K74" i="85"/>
  <c r="L74" i="85"/>
  <c r="A75" i="85"/>
  <c r="B75" i="85"/>
  <c r="C75" i="85"/>
  <c r="D75" i="85"/>
  <c r="E75" i="85"/>
  <c r="G75" i="85"/>
  <c r="H75" i="85"/>
  <c r="I75" i="85"/>
  <c r="J75" i="85"/>
  <c r="K75" i="85"/>
  <c r="L75" i="85"/>
  <c r="A76" i="85"/>
  <c r="B76" i="85"/>
  <c r="C76" i="85"/>
  <c r="D76" i="85"/>
  <c r="E76" i="85"/>
  <c r="G76" i="85"/>
  <c r="H76" i="85"/>
  <c r="I76" i="85"/>
  <c r="J76" i="85"/>
  <c r="K76" i="85"/>
  <c r="L76" i="85"/>
  <c r="A77" i="85"/>
  <c r="B77" i="85"/>
  <c r="C77" i="85"/>
  <c r="D77" i="85"/>
  <c r="E77" i="85"/>
  <c r="G77" i="85"/>
  <c r="H77" i="85"/>
  <c r="I77" i="85"/>
  <c r="J77" i="85"/>
  <c r="K77" i="85"/>
  <c r="L77" i="85"/>
  <c r="A78" i="85"/>
  <c r="B78" i="85"/>
  <c r="C78" i="85"/>
  <c r="D78" i="85"/>
  <c r="E78" i="85"/>
  <c r="G78" i="85"/>
  <c r="H78" i="85"/>
  <c r="I78" i="85"/>
  <c r="J78" i="85"/>
  <c r="K78" i="85"/>
  <c r="L78" i="85"/>
  <c r="A79" i="85"/>
  <c r="B79" i="85"/>
  <c r="C79" i="85"/>
  <c r="D79" i="85"/>
  <c r="E79" i="85"/>
  <c r="G79" i="85"/>
  <c r="H79" i="85"/>
  <c r="I79" i="85"/>
  <c r="J79" i="85"/>
  <c r="K79" i="85"/>
  <c r="L79" i="85"/>
  <c r="A80" i="85"/>
  <c r="B80" i="85"/>
  <c r="C80" i="85"/>
  <c r="D80" i="85"/>
  <c r="E80" i="85"/>
  <c r="G80" i="85"/>
  <c r="H80" i="85"/>
  <c r="I80" i="85"/>
  <c r="J80" i="85"/>
  <c r="K80" i="85"/>
  <c r="L80" i="85"/>
  <c r="A81" i="85"/>
  <c r="B81" i="85"/>
  <c r="C81" i="85"/>
  <c r="D81" i="85"/>
  <c r="E81" i="85"/>
  <c r="G81" i="85"/>
  <c r="H81" i="85"/>
  <c r="I81" i="85"/>
  <c r="J81" i="85"/>
  <c r="K81" i="85"/>
  <c r="L81" i="85"/>
  <c r="A82" i="85"/>
  <c r="B82" i="85"/>
  <c r="C82" i="85"/>
  <c r="D82" i="85"/>
  <c r="E82" i="85"/>
  <c r="G82" i="85"/>
  <c r="H82" i="85"/>
  <c r="I82" i="85"/>
  <c r="J82" i="85"/>
  <c r="K82" i="85"/>
  <c r="L82" i="85"/>
  <c r="A83" i="85"/>
  <c r="B83" i="85"/>
  <c r="C83" i="85"/>
  <c r="D83" i="85"/>
  <c r="E83" i="85"/>
  <c r="G83" i="85"/>
  <c r="H83" i="85"/>
  <c r="I83" i="85"/>
  <c r="J83" i="85"/>
  <c r="K83" i="85"/>
  <c r="L83" i="85"/>
  <c r="A84" i="85"/>
  <c r="B84" i="85"/>
  <c r="C84" i="85"/>
  <c r="D84" i="85"/>
  <c r="E84" i="85"/>
  <c r="G84" i="85"/>
  <c r="H84" i="85"/>
  <c r="I84" i="85"/>
  <c r="J84" i="85"/>
  <c r="K84" i="85"/>
  <c r="L84" i="85"/>
  <c r="A85" i="85"/>
  <c r="B85" i="85"/>
  <c r="C85" i="85"/>
  <c r="D85" i="85"/>
  <c r="E85" i="85"/>
  <c r="G85" i="85"/>
  <c r="H85" i="85"/>
  <c r="I85" i="85"/>
  <c r="J85" i="85"/>
  <c r="K85" i="85"/>
  <c r="L85" i="85"/>
  <c r="A86" i="85"/>
  <c r="B86" i="85"/>
  <c r="C86" i="85"/>
  <c r="D86" i="85"/>
  <c r="E86" i="85"/>
  <c r="G86" i="85"/>
  <c r="H86" i="85"/>
  <c r="I86" i="85"/>
  <c r="J86" i="85"/>
  <c r="K86" i="85"/>
  <c r="L86" i="85"/>
  <c r="A87" i="85"/>
  <c r="B87" i="85"/>
  <c r="C87" i="85"/>
  <c r="D87" i="85"/>
  <c r="E87" i="85"/>
  <c r="G87" i="85"/>
  <c r="H87" i="85"/>
  <c r="I87" i="85"/>
  <c r="J87" i="85"/>
  <c r="K87" i="85"/>
  <c r="L87" i="85"/>
  <c r="A88" i="85"/>
  <c r="B88" i="85"/>
  <c r="C88" i="85"/>
  <c r="D88" i="85"/>
  <c r="E88" i="85"/>
  <c r="G88" i="85"/>
  <c r="H88" i="85"/>
  <c r="I88" i="85"/>
  <c r="J88" i="85"/>
  <c r="K88" i="85"/>
  <c r="L88" i="85"/>
  <c r="A89" i="85"/>
  <c r="B89" i="85"/>
  <c r="C89" i="85"/>
  <c r="D89" i="85"/>
  <c r="E89" i="85"/>
  <c r="G89" i="85"/>
  <c r="H89" i="85"/>
  <c r="I89" i="85"/>
  <c r="J89" i="85"/>
  <c r="K89" i="85"/>
  <c r="L89" i="85"/>
  <c r="A90" i="85"/>
  <c r="B90" i="85"/>
  <c r="C90" i="85"/>
  <c r="D90" i="85"/>
  <c r="E90" i="85"/>
  <c r="G90" i="85"/>
  <c r="H90" i="85"/>
  <c r="I90" i="85"/>
  <c r="J90" i="85"/>
  <c r="K90" i="85"/>
  <c r="L90" i="85"/>
  <c r="A91" i="85"/>
  <c r="B91" i="85"/>
  <c r="C91" i="85"/>
  <c r="D91" i="85"/>
  <c r="E91" i="85"/>
  <c r="G91" i="85"/>
  <c r="H91" i="85"/>
  <c r="I91" i="85"/>
  <c r="J91" i="85"/>
  <c r="K91" i="85"/>
  <c r="L91" i="85"/>
  <c r="A92" i="85"/>
  <c r="B92" i="85"/>
  <c r="C92" i="85"/>
  <c r="D92" i="85"/>
  <c r="E92" i="85"/>
  <c r="G92" i="85"/>
  <c r="H92" i="85"/>
  <c r="I92" i="85"/>
  <c r="J92" i="85"/>
  <c r="K92" i="85"/>
  <c r="L92" i="85"/>
  <c r="A93" i="85"/>
  <c r="B93" i="85"/>
  <c r="C93" i="85"/>
  <c r="D93" i="85"/>
  <c r="E93" i="85"/>
  <c r="G93" i="85"/>
  <c r="H93" i="85"/>
  <c r="I93" i="85"/>
  <c r="J93" i="85"/>
  <c r="K93" i="85"/>
  <c r="L93" i="85"/>
  <c r="A94" i="85"/>
  <c r="B94" i="85"/>
  <c r="C94" i="85"/>
  <c r="D94" i="85"/>
  <c r="E94" i="85"/>
  <c r="G94" i="85"/>
  <c r="H94" i="85"/>
  <c r="I94" i="85"/>
  <c r="J94" i="85"/>
  <c r="K94" i="85"/>
  <c r="L94" i="85"/>
  <c r="A95" i="85"/>
  <c r="B95" i="85"/>
  <c r="C95" i="85"/>
  <c r="D95" i="85"/>
  <c r="E95" i="85"/>
  <c r="G95" i="85"/>
  <c r="H95" i="85"/>
  <c r="I95" i="85"/>
  <c r="J95" i="85"/>
  <c r="K95" i="85"/>
  <c r="L95" i="85"/>
  <c r="A96" i="85"/>
  <c r="B96" i="85"/>
  <c r="C96" i="85"/>
  <c r="D96" i="85"/>
  <c r="E96" i="85"/>
  <c r="G96" i="85"/>
  <c r="H96" i="85"/>
  <c r="I96" i="85"/>
  <c r="J96" i="85"/>
  <c r="K96" i="85"/>
  <c r="L96" i="85"/>
  <c r="A97" i="85"/>
  <c r="B97" i="85"/>
  <c r="C97" i="85"/>
  <c r="D97" i="85"/>
  <c r="E97" i="85"/>
  <c r="G97" i="85"/>
  <c r="H97" i="85"/>
  <c r="I97" i="85"/>
  <c r="J97" i="85"/>
  <c r="K97" i="85"/>
  <c r="L97" i="85"/>
  <c r="A98" i="85"/>
  <c r="B98" i="85"/>
  <c r="C98" i="85"/>
  <c r="D98" i="85"/>
  <c r="E98" i="85"/>
  <c r="G98" i="85"/>
  <c r="H98" i="85"/>
  <c r="I98" i="85"/>
  <c r="J98" i="85"/>
  <c r="K98" i="85"/>
  <c r="L98" i="85"/>
  <c r="A99" i="85"/>
  <c r="B99" i="85"/>
  <c r="C99" i="85"/>
  <c r="D99" i="85"/>
  <c r="E99" i="85"/>
  <c r="G99" i="85"/>
  <c r="H99" i="85"/>
  <c r="I99" i="85"/>
  <c r="J99" i="85"/>
  <c r="K99" i="85"/>
  <c r="L99" i="85"/>
  <c r="A100" i="85"/>
  <c r="B100" i="85"/>
  <c r="C100" i="85"/>
  <c r="D100" i="85"/>
  <c r="E100" i="85"/>
  <c r="G100" i="85"/>
  <c r="H100" i="85"/>
  <c r="I100" i="85"/>
  <c r="J100" i="85"/>
  <c r="K100" i="85"/>
  <c r="L100" i="85"/>
  <c r="A101" i="85"/>
  <c r="B101" i="85"/>
  <c r="C101" i="85"/>
  <c r="D101" i="85"/>
  <c r="E101" i="85"/>
  <c r="G101" i="85"/>
  <c r="H101" i="85"/>
  <c r="I101" i="85"/>
  <c r="J101" i="85"/>
  <c r="K101" i="85"/>
  <c r="L101" i="85"/>
  <c r="A102" i="85"/>
  <c r="B102" i="85"/>
  <c r="C102" i="85"/>
  <c r="D102" i="85"/>
  <c r="E102" i="85"/>
  <c r="G102" i="85"/>
  <c r="H102" i="85"/>
  <c r="I102" i="85"/>
  <c r="J102" i="85"/>
  <c r="K102" i="85"/>
  <c r="L102" i="85"/>
  <c r="A103" i="85"/>
  <c r="B103" i="85"/>
  <c r="C103" i="85"/>
  <c r="D103" i="85"/>
  <c r="E103" i="85"/>
  <c r="G103" i="85"/>
  <c r="H103" i="85"/>
  <c r="I103" i="85"/>
  <c r="J103" i="85"/>
  <c r="K103" i="85"/>
  <c r="L103" i="85"/>
  <c r="A104" i="85"/>
  <c r="B104" i="85"/>
  <c r="C104" i="85"/>
  <c r="D104" i="85"/>
  <c r="E104" i="85"/>
  <c r="G104" i="85"/>
  <c r="H104" i="85"/>
  <c r="I104" i="85"/>
  <c r="J104" i="85"/>
  <c r="K104" i="85"/>
  <c r="L104" i="85"/>
  <c r="A105" i="85"/>
  <c r="B105" i="85"/>
  <c r="C105" i="85"/>
  <c r="D105" i="85"/>
  <c r="E105" i="85"/>
  <c r="G105" i="85"/>
  <c r="H105" i="85"/>
  <c r="I105" i="85"/>
  <c r="J105" i="85"/>
  <c r="K105" i="85"/>
  <c r="L105" i="85"/>
  <c r="A106" i="85"/>
  <c r="B106" i="85"/>
  <c r="C106" i="85"/>
  <c r="D106" i="85"/>
  <c r="E106" i="85"/>
  <c r="G106" i="85"/>
  <c r="H106" i="85"/>
  <c r="I106" i="85"/>
  <c r="J106" i="85"/>
  <c r="K106" i="85"/>
  <c r="L106" i="85"/>
  <c r="A107" i="85"/>
  <c r="B107" i="85"/>
  <c r="C107" i="85"/>
  <c r="D107" i="85"/>
  <c r="E107" i="85"/>
  <c r="G107" i="85"/>
  <c r="H107" i="85"/>
  <c r="I107" i="85"/>
  <c r="J107" i="85"/>
  <c r="K107" i="85"/>
  <c r="L107" i="85"/>
  <c r="A108" i="85"/>
  <c r="B108" i="85"/>
  <c r="C108" i="85"/>
  <c r="D108" i="85"/>
  <c r="E108" i="85"/>
  <c r="G108" i="85"/>
  <c r="H108" i="85"/>
  <c r="I108" i="85"/>
  <c r="J108" i="85"/>
  <c r="K108" i="85"/>
  <c r="L108" i="85"/>
  <c r="A109" i="85"/>
  <c r="B109" i="85"/>
  <c r="C109" i="85"/>
  <c r="D109" i="85"/>
  <c r="E109" i="85"/>
  <c r="G109" i="85"/>
  <c r="H109" i="85"/>
  <c r="I109" i="85"/>
  <c r="J109" i="85"/>
  <c r="K109" i="85"/>
  <c r="L109" i="85"/>
  <c r="BF2" i="83"/>
  <c r="BE2" i="83"/>
  <c r="BD2" i="83"/>
  <c r="BC2" i="83"/>
  <c r="BB2" i="83"/>
  <c r="BA2" i="83"/>
  <c r="AZ2" i="83"/>
  <c r="AY2" i="83"/>
  <c r="AX2" i="83"/>
  <c r="AW2" i="83"/>
  <c r="AV2" i="83"/>
  <c r="AU2" i="83"/>
  <c r="AT2" i="83"/>
  <c r="AS2" i="83"/>
  <c r="AR2" i="83"/>
  <c r="AQ2" i="83"/>
  <c r="AP2" i="83"/>
  <c r="AO2" i="83"/>
  <c r="AN2" i="83"/>
  <c r="AM2" i="83"/>
  <c r="AL2" i="83"/>
  <c r="AK2" i="83"/>
  <c r="AJ2" i="83"/>
  <c r="AI2" i="83"/>
  <c r="AH2" i="83"/>
  <c r="AG2" i="83"/>
  <c r="AF2" i="83"/>
  <c r="AE2" i="83"/>
  <c r="AD2" i="83"/>
  <c r="AC2" i="83"/>
  <c r="AB2" i="83"/>
  <c r="AA2" i="83"/>
  <c r="Z2" i="83"/>
  <c r="Y2" i="83"/>
  <c r="X2" i="83"/>
  <c r="W2" i="83"/>
  <c r="V2" i="83"/>
  <c r="U2" i="83"/>
  <c r="T2" i="83"/>
  <c r="S2" i="83"/>
  <c r="R2" i="83"/>
  <c r="Q2" i="83"/>
  <c r="A3" i="84"/>
  <c r="B3" i="84"/>
  <c r="C3" i="84"/>
  <c r="D3" i="84"/>
  <c r="E3" i="84"/>
  <c r="I3" i="84"/>
  <c r="J3" i="84"/>
  <c r="K3" i="84"/>
  <c r="L3" i="84"/>
  <c r="A4" i="84"/>
  <c r="B4" i="84"/>
  <c r="C4" i="84"/>
  <c r="D4" i="84"/>
  <c r="E4" i="84"/>
  <c r="H4" i="84"/>
  <c r="I4" i="84"/>
  <c r="J4" i="84"/>
  <c r="K4" i="84"/>
  <c r="L4" i="84"/>
  <c r="A5" i="84"/>
  <c r="B5" i="84"/>
  <c r="C5" i="84"/>
  <c r="D5" i="84"/>
  <c r="E5" i="84"/>
  <c r="I5" i="84"/>
  <c r="J5" i="84"/>
  <c r="K5" i="84"/>
  <c r="L5" i="84"/>
  <c r="A6" i="84"/>
  <c r="B6" i="84"/>
  <c r="C6" i="84"/>
  <c r="D6" i="84"/>
  <c r="E6" i="84"/>
  <c r="I6" i="84"/>
  <c r="J6" i="84"/>
  <c r="K6" i="84"/>
  <c r="L6" i="84"/>
  <c r="A7" i="84"/>
  <c r="B7" i="84"/>
  <c r="C7" i="84"/>
  <c r="D7" i="84"/>
  <c r="E7" i="84"/>
  <c r="I7" i="84"/>
  <c r="J7" i="84"/>
  <c r="K7" i="84"/>
  <c r="L7" i="84"/>
  <c r="A8" i="84"/>
  <c r="B8" i="84"/>
  <c r="C8" i="84"/>
  <c r="D8" i="84"/>
  <c r="E8" i="84"/>
  <c r="I8" i="84"/>
  <c r="J8" i="84"/>
  <c r="K8" i="84"/>
  <c r="L8" i="84"/>
  <c r="A9" i="84"/>
  <c r="B9" i="84"/>
  <c r="C9" i="84"/>
  <c r="D9" i="84"/>
  <c r="E9" i="84"/>
  <c r="I9" i="84"/>
  <c r="J9" i="84"/>
  <c r="K9" i="84"/>
  <c r="L9" i="84"/>
  <c r="A10" i="84"/>
  <c r="B10" i="84"/>
  <c r="C10" i="84"/>
  <c r="D10" i="84"/>
  <c r="E10" i="84"/>
  <c r="I10" i="84"/>
  <c r="J10" i="84"/>
  <c r="K10" i="84"/>
  <c r="L10" i="84"/>
  <c r="A11" i="84"/>
  <c r="B11" i="84"/>
  <c r="C11" i="84"/>
  <c r="D11" i="84"/>
  <c r="E11" i="84"/>
  <c r="I11" i="84"/>
  <c r="J11" i="84"/>
  <c r="K11" i="84"/>
  <c r="L11" i="84"/>
  <c r="A12" i="84"/>
  <c r="B12" i="84"/>
  <c r="C12" i="84"/>
  <c r="D12" i="84"/>
  <c r="E12" i="84"/>
  <c r="H12" i="84"/>
  <c r="I12" i="84"/>
  <c r="J12" i="84"/>
  <c r="K12" i="84"/>
  <c r="L12" i="84"/>
  <c r="A13" i="84"/>
  <c r="B13" i="84"/>
  <c r="C13" i="84"/>
  <c r="D13" i="84"/>
  <c r="E13" i="84"/>
  <c r="I13" i="84"/>
  <c r="J13" i="84"/>
  <c r="K13" i="84"/>
  <c r="L13" i="84"/>
  <c r="A14" i="84"/>
  <c r="B14" i="84"/>
  <c r="C14" i="84"/>
  <c r="D14" i="84"/>
  <c r="E14" i="84"/>
  <c r="I14" i="84"/>
  <c r="J14" i="84"/>
  <c r="K14" i="84"/>
  <c r="L14" i="84"/>
  <c r="A15" i="84"/>
  <c r="B15" i="84"/>
  <c r="C15" i="84"/>
  <c r="D15" i="84"/>
  <c r="E15" i="84"/>
  <c r="I15" i="84"/>
  <c r="J15" i="84"/>
  <c r="K15" i="84"/>
  <c r="L15" i="84"/>
  <c r="A16" i="84"/>
  <c r="B16" i="84"/>
  <c r="C16" i="84"/>
  <c r="D16" i="84"/>
  <c r="E16" i="84"/>
  <c r="I16" i="84"/>
  <c r="J16" i="84"/>
  <c r="K16" i="84"/>
  <c r="L16" i="84"/>
  <c r="M16" i="84"/>
  <c r="A17" i="84"/>
  <c r="B17" i="84"/>
  <c r="C17" i="84"/>
  <c r="D17" i="84"/>
  <c r="E17" i="84"/>
  <c r="I17" i="84"/>
  <c r="J17" i="84"/>
  <c r="K17" i="84"/>
  <c r="L17" i="84"/>
  <c r="A18" i="84"/>
  <c r="B18" i="84"/>
  <c r="C18" i="84"/>
  <c r="D18" i="84"/>
  <c r="E18" i="84"/>
  <c r="I18" i="84"/>
  <c r="J18" i="84"/>
  <c r="K18" i="84"/>
  <c r="L18" i="84"/>
  <c r="A19" i="84"/>
  <c r="B19" i="84"/>
  <c r="C19" i="84"/>
  <c r="D19" i="84"/>
  <c r="E19" i="84"/>
  <c r="I19" i="84"/>
  <c r="J19" i="84"/>
  <c r="K19" i="84"/>
  <c r="L19" i="84"/>
  <c r="A20" i="84"/>
  <c r="B20" i="84"/>
  <c r="C20" i="84"/>
  <c r="D20" i="84"/>
  <c r="E20" i="84"/>
  <c r="H20" i="84"/>
  <c r="I20" i="84"/>
  <c r="J20" i="84"/>
  <c r="K20" i="84"/>
  <c r="L20" i="84"/>
  <c r="A21" i="84"/>
  <c r="B21" i="84"/>
  <c r="C21" i="84"/>
  <c r="D21" i="84"/>
  <c r="E21" i="84"/>
  <c r="I21" i="84"/>
  <c r="J21" i="84"/>
  <c r="K21" i="84"/>
  <c r="L21" i="84"/>
  <c r="A22" i="84"/>
  <c r="B22" i="84"/>
  <c r="C22" i="84"/>
  <c r="D22" i="84"/>
  <c r="E22" i="84"/>
  <c r="I22" i="84"/>
  <c r="J22" i="84"/>
  <c r="K22" i="84"/>
  <c r="L22" i="84"/>
  <c r="A23" i="84"/>
  <c r="B23" i="84"/>
  <c r="C23" i="84"/>
  <c r="D23" i="84"/>
  <c r="E23" i="84"/>
  <c r="I23" i="84"/>
  <c r="J23" i="84"/>
  <c r="K23" i="84"/>
  <c r="L23" i="84"/>
  <c r="A24" i="84"/>
  <c r="B24" i="84"/>
  <c r="C24" i="84"/>
  <c r="D24" i="84"/>
  <c r="E24" i="84"/>
  <c r="I24" i="84"/>
  <c r="J24" i="84"/>
  <c r="K24" i="84"/>
  <c r="L24" i="84"/>
  <c r="A25" i="84"/>
  <c r="B25" i="84"/>
  <c r="C25" i="84"/>
  <c r="D25" i="84"/>
  <c r="E25" i="84"/>
  <c r="I25" i="84"/>
  <c r="J25" i="84"/>
  <c r="K25" i="84"/>
  <c r="L25" i="84"/>
  <c r="A26" i="84"/>
  <c r="B26" i="84"/>
  <c r="C26" i="84"/>
  <c r="D26" i="84"/>
  <c r="E26" i="84"/>
  <c r="I26" i="84"/>
  <c r="J26" i="84"/>
  <c r="K26" i="84"/>
  <c r="L26" i="84"/>
  <c r="A27" i="84"/>
  <c r="B27" i="84"/>
  <c r="C27" i="84"/>
  <c r="D27" i="84"/>
  <c r="E27" i="84"/>
  <c r="I27" i="84"/>
  <c r="J27" i="84"/>
  <c r="K27" i="84"/>
  <c r="L27" i="84"/>
  <c r="A3" i="82"/>
  <c r="B3" i="82"/>
  <c r="C3" i="82"/>
  <c r="D3" i="82"/>
  <c r="E3" i="82"/>
  <c r="I3" i="82"/>
  <c r="J3" i="82"/>
  <c r="K3" i="82"/>
  <c r="L3" i="82"/>
  <c r="A4" i="82"/>
  <c r="B4" i="82"/>
  <c r="C4" i="82"/>
  <c r="D4" i="82"/>
  <c r="E4" i="82"/>
  <c r="I4" i="82"/>
  <c r="J4" i="82"/>
  <c r="K4" i="82"/>
  <c r="L4" i="82"/>
  <c r="A5" i="82"/>
  <c r="B5" i="82"/>
  <c r="C5" i="82"/>
  <c r="D5" i="82"/>
  <c r="E5" i="82"/>
  <c r="I5" i="82"/>
  <c r="J5" i="82"/>
  <c r="K5" i="82"/>
  <c r="L5" i="82"/>
  <c r="A6" i="82"/>
  <c r="B6" i="82"/>
  <c r="C6" i="82"/>
  <c r="D6" i="82"/>
  <c r="E6" i="82"/>
  <c r="I6" i="82"/>
  <c r="J6" i="82"/>
  <c r="K6" i="82"/>
  <c r="L6" i="82"/>
  <c r="A7" i="82"/>
  <c r="B7" i="82"/>
  <c r="C7" i="82"/>
  <c r="D7" i="82"/>
  <c r="E7" i="82"/>
  <c r="I7" i="82"/>
  <c r="J7" i="82"/>
  <c r="K7" i="82"/>
  <c r="L7" i="82"/>
  <c r="A8" i="82"/>
  <c r="B8" i="82"/>
  <c r="C8" i="82"/>
  <c r="D8" i="82"/>
  <c r="E8" i="82"/>
  <c r="I8" i="82"/>
  <c r="J8" i="82"/>
  <c r="K8" i="82"/>
  <c r="L8" i="82"/>
  <c r="A9" i="82"/>
  <c r="B9" i="82"/>
  <c r="C9" i="82"/>
  <c r="D9" i="82"/>
  <c r="E9" i="82"/>
  <c r="I9" i="82"/>
  <c r="J9" i="82"/>
  <c r="K9" i="82"/>
  <c r="L9" i="82"/>
  <c r="A10" i="82"/>
  <c r="B10" i="82"/>
  <c r="C10" i="82"/>
  <c r="D10" i="82"/>
  <c r="E10" i="82"/>
  <c r="I10" i="82"/>
  <c r="J10" i="82"/>
  <c r="K10" i="82"/>
  <c r="L10" i="82"/>
  <c r="A11" i="82"/>
  <c r="B11" i="82"/>
  <c r="C11" i="82"/>
  <c r="D11" i="82"/>
  <c r="E11" i="82"/>
  <c r="H11" i="82"/>
  <c r="I11" i="82"/>
  <c r="J11" i="82"/>
  <c r="K11" i="82"/>
  <c r="L11" i="82"/>
  <c r="A12" i="82"/>
  <c r="B12" i="82"/>
  <c r="C12" i="82"/>
  <c r="D12" i="82"/>
  <c r="E12" i="82"/>
  <c r="I12" i="82"/>
  <c r="J12" i="82"/>
  <c r="K12" i="82"/>
  <c r="L12" i="82"/>
  <c r="A13" i="82"/>
  <c r="B13" i="82"/>
  <c r="C13" i="82"/>
  <c r="D13" i="82"/>
  <c r="E13" i="82"/>
  <c r="I13" i="82"/>
  <c r="J13" i="82"/>
  <c r="K13" i="82"/>
  <c r="L13" i="82"/>
  <c r="A14" i="82"/>
  <c r="B14" i="82"/>
  <c r="C14" i="82"/>
  <c r="D14" i="82"/>
  <c r="E14" i="82"/>
  <c r="I14" i="82"/>
  <c r="J14" i="82"/>
  <c r="K14" i="82"/>
  <c r="L14" i="82"/>
  <c r="A15" i="82"/>
  <c r="B15" i="82"/>
  <c r="C15" i="82"/>
  <c r="D15" i="82"/>
  <c r="E15" i="82"/>
  <c r="I15" i="82"/>
  <c r="J15" i="82"/>
  <c r="K15" i="82"/>
  <c r="L15" i="82"/>
  <c r="A16" i="82"/>
  <c r="B16" i="82"/>
  <c r="C16" i="82"/>
  <c r="D16" i="82"/>
  <c r="E16" i="82"/>
  <c r="I16" i="82"/>
  <c r="J16" i="82"/>
  <c r="K16" i="82"/>
  <c r="L16" i="82"/>
  <c r="A17" i="82"/>
  <c r="B17" i="82"/>
  <c r="C17" i="82"/>
  <c r="D17" i="82"/>
  <c r="E17" i="82"/>
  <c r="I17" i="82"/>
  <c r="J17" i="82"/>
  <c r="K17" i="82"/>
  <c r="L17" i="82"/>
  <c r="M17" i="82"/>
  <c r="A18" i="82"/>
  <c r="B18" i="82"/>
  <c r="C18" i="82"/>
  <c r="D18" i="82"/>
  <c r="E18" i="82"/>
  <c r="I18" i="82"/>
  <c r="J18" i="82"/>
  <c r="K18" i="82"/>
  <c r="L18" i="82"/>
  <c r="A19" i="82"/>
  <c r="B19" i="82"/>
  <c r="C19" i="82"/>
  <c r="D19" i="82"/>
  <c r="E19" i="82"/>
  <c r="H19" i="82"/>
  <c r="I19" i="82"/>
  <c r="J19" i="82"/>
  <c r="K19" i="82"/>
  <c r="L19" i="82"/>
  <c r="A20" i="82"/>
  <c r="B20" i="82"/>
  <c r="C20" i="82"/>
  <c r="D20" i="82"/>
  <c r="E20" i="82"/>
  <c r="I20" i="82"/>
  <c r="J20" i="82"/>
  <c r="K20" i="82"/>
  <c r="L20" i="82"/>
  <c r="A21" i="82"/>
  <c r="B21" i="82"/>
  <c r="C21" i="82"/>
  <c r="D21" i="82"/>
  <c r="E21" i="82"/>
  <c r="I21" i="82"/>
  <c r="J21" i="82"/>
  <c r="K21" i="82"/>
  <c r="L21" i="82"/>
  <c r="A22" i="82"/>
  <c r="B22" i="82"/>
  <c r="C22" i="82"/>
  <c r="D22" i="82"/>
  <c r="E22" i="82"/>
  <c r="I22" i="82"/>
  <c r="J22" i="82"/>
  <c r="K22" i="82"/>
  <c r="L22" i="82"/>
  <c r="A23" i="82"/>
  <c r="B23" i="82"/>
  <c r="C23" i="82"/>
  <c r="D23" i="82"/>
  <c r="E23" i="82"/>
  <c r="I23" i="82"/>
  <c r="J23" i="82"/>
  <c r="K23" i="82"/>
  <c r="L23" i="82"/>
  <c r="A24" i="82"/>
  <c r="B24" i="82"/>
  <c r="C24" i="82"/>
  <c r="D24" i="82"/>
  <c r="E24" i="82"/>
  <c r="I24" i="82"/>
  <c r="J24" i="82"/>
  <c r="K24" i="82"/>
  <c r="L24" i="82"/>
  <c r="A25" i="82"/>
  <c r="B25" i="82"/>
  <c r="C25" i="82"/>
  <c r="D25" i="82"/>
  <c r="E25" i="82"/>
  <c r="I25" i="82"/>
  <c r="J25" i="82"/>
  <c r="K25" i="82"/>
  <c r="L25" i="82"/>
  <c r="A26" i="82"/>
  <c r="B26" i="82"/>
  <c r="C26" i="82"/>
  <c r="D26" i="82"/>
  <c r="E26" i="82"/>
  <c r="I26" i="82"/>
  <c r="J26" i="82"/>
  <c r="K26" i="82"/>
  <c r="L26" i="82"/>
  <c r="A27" i="82"/>
  <c r="B27" i="82"/>
  <c r="C27" i="82"/>
  <c r="D27" i="82"/>
  <c r="E27" i="82"/>
  <c r="H27" i="82"/>
  <c r="I27" i="82"/>
  <c r="J27" i="82"/>
  <c r="K27" i="82"/>
  <c r="L27" i="82"/>
  <c r="A28" i="82"/>
  <c r="B28" i="82"/>
  <c r="C28" i="82"/>
  <c r="D28" i="82"/>
  <c r="E28" i="82"/>
  <c r="I28" i="82"/>
  <c r="J28" i="82"/>
  <c r="K28" i="82"/>
  <c r="L28" i="82"/>
  <c r="A29" i="82"/>
  <c r="B29" i="82"/>
  <c r="C29" i="82"/>
  <c r="D29" i="82"/>
  <c r="E29" i="82"/>
  <c r="I29" i="82"/>
  <c r="J29" i="82"/>
  <c r="K29" i="82"/>
  <c r="L29" i="82"/>
  <c r="A30" i="82"/>
  <c r="B30" i="82"/>
  <c r="C30" i="82"/>
  <c r="D30" i="82"/>
  <c r="E30" i="82"/>
  <c r="I30" i="82"/>
  <c r="J30" i="82"/>
  <c r="K30" i="82"/>
  <c r="L30" i="82"/>
  <c r="A31" i="82"/>
  <c r="B31" i="82"/>
  <c r="C31" i="82"/>
  <c r="D31" i="82"/>
  <c r="E31" i="82"/>
  <c r="I31" i="82"/>
  <c r="J31" i="82"/>
  <c r="K31" i="82"/>
  <c r="L31" i="82"/>
  <c r="A32" i="82"/>
  <c r="B32" i="82"/>
  <c r="C32" i="82"/>
  <c r="D32" i="82"/>
  <c r="E32" i="82"/>
  <c r="I32" i="82"/>
  <c r="J32" i="82"/>
  <c r="K32" i="82"/>
  <c r="L32" i="82"/>
  <c r="M32" i="82"/>
  <c r="A33" i="82"/>
  <c r="B33" i="82"/>
  <c r="C33" i="82"/>
  <c r="D33" i="82"/>
  <c r="E33" i="82"/>
  <c r="I33" i="82"/>
  <c r="J33" i="82"/>
  <c r="K33" i="82"/>
  <c r="L33" i="82"/>
  <c r="A34" i="82"/>
  <c r="B34" i="82"/>
  <c r="C34" i="82"/>
  <c r="D34" i="82"/>
  <c r="E34" i="82"/>
  <c r="I34" i="82"/>
  <c r="J34" i="82"/>
  <c r="K34" i="82"/>
  <c r="L34" i="82"/>
  <c r="A35" i="82"/>
  <c r="B35" i="82"/>
  <c r="C35" i="82"/>
  <c r="D35" i="82"/>
  <c r="E35" i="82"/>
  <c r="I35" i="82"/>
  <c r="J35" i="82"/>
  <c r="K35" i="82"/>
  <c r="L35" i="82"/>
  <c r="A36" i="82"/>
  <c r="B36" i="82"/>
  <c r="C36" i="82"/>
  <c r="D36" i="82"/>
  <c r="E36" i="82"/>
  <c r="I36" i="82"/>
  <c r="J36" i="82"/>
  <c r="K36" i="82"/>
  <c r="L36" i="82"/>
  <c r="A37" i="82"/>
  <c r="B37" i="82"/>
  <c r="C37" i="82"/>
  <c r="D37" i="82"/>
  <c r="E37" i="82"/>
  <c r="I37" i="82"/>
  <c r="J37" i="82"/>
  <c r="K37" i="82"/>
  <c r="L37" i="82"/>
  <c r="A3" i="81"/>
  <c r="B3" i="81"/>
  <c r="C3" i="81"/>
  <c r="D3" i="81"/>
  <c r="E3" i="81"/>
  <c r="I3" i="81"/>
  <c r="J3" i="81"/>
  <c r="K3" i="81"/>
  <c r="L3" i="81"/>
  <c r="A4" i="81"/>
  <c r="B4" i="81"/>
  <c r="C4" i="81"/>
  <c r="D4" i="81"/>
  <c r="E4" i="81"/>
  <c r="I4" i="81"/>
  <c r="J4" i="81"/>
  <c r="K4" i="81"/>
  <c r="L4" i="81"/>
  <c r="A5" i="81"/>
  <c r="B5" i="81"/>
  <c r="C5" i="81"/>
  <c r="D5" i="81"/>
  <c r="E5" i="81"/>
  <c r="I5" i="81"/>
  <c r="J5" i="81"/>
  <c r="K5" i="81"/>
  <c r="L5" i="81"/>
  <c r="M5" i="81"/>
  <c r="A6" i="81"/>
  <c r="B6" i="81"/>
  <c r="C6" i="81"/>
  <c r="D6" i="81"/>
  <c r="E6" i="81"/>
  <c r="I6" i="81"/>
  <c r="J6" i="81"/>
  <c r="K6" i="81"/>
  <c r="L6" i="81"/>
  <c r="A7" i="81"/>
  <c r="B7" i="81"/>
  <c r="C7" i="81"/>
  <c r="D7" i="81"/>
  <c r="E7" i="81"/>
  <c r="I7" i="81"/>
  <c r="J7" i="81"/>
  <c r="K7" i="81"/>
  <c r="L7" i="81"/>
  <c r="A8" i="81"/>
  <c r="B8" i="81"/>
  <c r="C8" i="81"/>
  <c r="D8" i="81"/>
  <c r="E8" i="81"/>
  <c r="H8" i="81"/>
  <c r="I8" i="81"/>
  <c r="J8" i="81"/>
  <c r="K8" i="81"/>
  <c r="L8" i="81"/>
  <c r="A9" i="81"/>
  <c r="B9" i="81"/>
  <c r="C9" i="81"/>
  <c r="D9" i="81"/>
  <c r="E9" i="81"/>
  <c r="I9" i="81"/>
  <c r="J9" i="81"/>
  <c r="K9" i="81"/>
  <c r="L9" i="81"/>
  <c r="A10" i="81"/>
  <c r="B10" i="81"/>
  <c r="C10" i="81"/>
  <c r="D10" i="81"/>
  <c r="E10" i="81"/>
  <c r="I10" i="81"/>
  <c r="J10" i="81"/>
  <c r="K10" i="81"/>
  <c r="L10" i="81"/>
  <c r="A11" i="81"/>
  <c r="B11" i="81"/>
  <c r="C11" i="81"/>
  <c r="D11" i="81"/>
  <c r="E11" i="81"/>
  <c r="I11" i="81"/>
  <c r="J11" i="81"/>
  <c r="K11" i="81"/>
  <c r="L11" i="81"/>
  <c r="A12" i="81"/>
  <c r="B12" i="81"/>
  <c r="C12" i="81"/>
  <c r="D12" i="81"/>
  <c r="E12" i="81"/>
  <c r="I12" i="81"/>
  <c r="J12" i="81"/>
  <c r="K12" i="81"/>
  <c r="L12" i="81"/>
  <c r="A13" i="81"/>
  <c r="B13" i="81"/>
  <c r="C13" i="81"/>
  <c r="D13" i="81"/>
  <c r="E13" i="81"/>
  <c r="I13" i="81"/>
  <c r="J13" i="81"/>
  <c r="K13" i="81"/>
  <c r="L13" i="81"/>
  <c r="A14" i="81"/>
  <c r="B14" i="81"/>
  <c r="C14" i="81"/>
  <c r="D14" i="81"/>
  <c r="E14" i="81"/>
  <c r="I14" i="81"/>
  <c r="J14" i="81"/>
  <c r="K14" i="81"/>
  <c r="L14" i="81"/>
  <c r="A15" i="81"/>
  <c r="B15" i="81"/>
  <c r="C15" i="81"/>
  <c r="D15" i="81"/>
  <c r="E15" i="81"/>
  <c r="I15" i="81"/>
  <c r="J15" i="81"/>
  <c r="K15" i="81"/>
  <c r="L15" i="81"/>
  <c r="A16" i="81"/>
  <c r="B16" i="81"/>
  <c r="C16" i="81"/>
  <c r="D16" i="81"/>
  <c r="E16" i="81"/>
  <c r="H16" i="81"/>
  <c r="I16" i="81"/>
  <c r="J16" i="81"/>
  <c r="K16" i="81"/>
  <c r="L16" i="81"/>
  <c r="A17" i="81"/>
  <c r="B17" i="81"/>
  <c r="C17" i="81"/>
  <c r="D17" i="81"/>
  <c r="E17" i="81"/>
  <c r="I17" i="81"/>
  <c r="J17" i="81"/>
  <c r="K17" i="81"/>
  <c r="L17" i="81"/>
  <c r="A3" i="80"/>
  <c r="B3" i="80"/>
  <c r="C3" i="80"/>
  <c r="D3" i="80"/>
  <c r="E3" i="80"/>
  <c r="I3" i="80"/>
  <c r="J3" i="80"/>
  <c r="K3" i="80"/>
  <c r="L3" i="80"/>
  <c r="A4" i="80"/>
  <c r="B4" i="80"/>
  <c r="C4" i="80"/>
  <c r="D4" i="80"/>
  <c r="E4" i="80"/>
  <c r="I4" i="80"/>
  <c r="J4" i="80"/>
  <c r="K4" i="80"/>
  <c r="L4" i="80"/>
  <c r="A5" i="80"/>
  <c r="B5" i="80"/>
  <c r="C5" i="80"/>
  <c r="D5" i="80"/>
  <c r="E5" i="80"/>
  <c r="I5" i="80"/>
  <c r="J5" i="80"/>
  <c r="K5" i="80"/>
  <c r="L5" i="80"/>
  <c r="A6" i="80"/>
  <c r="B6" i="80"/>
  <c r="C6" i="80"/>
  <c r="D6" i="80"/>
  <c r="E6" i="80"/>
  <c r="I6" i="80"/>
  <c r="J6" i="80"/>
  <c r="K6" i="80"/>
  <c r="L6" i="80"/>
  <c r="A7" i="80"/>
  <c r="B7" i="80"/>
  <c r="C7" i="80"/>
  <c r="D7" i="80"/>
  <c r="E7" i="80"/>
  <c r="I7" i="80"/>
  <c r="J7" i="80"/>
  <c r="K7" i="80"/>
  <c r="L7" i="80"/>
  <c r="M7" i="80"/>
  <c r="A8" i="80"/>
  <c r="B8" i="80"/>
  <c r="C8" i="80"/>
  <c r="D8" i="80"/>
  <c r="E8" i="80"/>
  <c r="I8" i="80"/>
  <c r="J8" i="80"/>
  <c r="K8" i="80"/>
  <c r="L8" i="80"/>
  <c r="A9" i="80"/>
  <c r="B9" i="80"/>
  <c r="C9" i="80"/>
  <c r="D9" i="80"/>
  <c r="E9" i="80"/>
  <c r="H9" i="80"/>
  <c r="I9" i="80"/>
  <c r="J9" i="80"/>
  <c r="K9" i="80"/>
  <c r="L9" i="80"/>
  <c r="A10" i="80"/>
  <c r="B10" i="80"/>
  <c r="C10" i="80"/>
  <c r="D10" i="80"/>
  <c r="E10" i="80"/>
  <c r="I10" i="80"/>
  <c r="J10" i="80"/>
  <c r="K10" i="80"/>
  <c r="L10" i="80"/>
  <c r="A11" i="80"/>
  <c r="B11" i="80"/>
  <c r="C11" i="80"/>
  <c r="D11" i="80"/>
  <c r="E11" i="80"/>
  <c r="I11" i="80"/>
  <c r="J11" i="80"/>
  <c r="K11" i="80"/>
  <c r="L11" i="80"/>
  <c r="A12" i="80"/>
  <c r="B12" i="80"/>
  <c r="C12" i="80"/>
  <c r="D12" i="80"/>
  <c r="E12" i="80"/>
  <c r="I12" i="80"/>
  <c r="J12" i="80"/>
  <c r="K12" i="80"/>
  <c r="L12" i="80"/>
  <c r="A13" i="80"/>
  <c r="B13" i="80"/>
  <c r="C13" i="80"/>
  <c r="D13" i="80"/>
  <c r="E13" i="80"/>
  <c r="I13" i="80"/>
  <c r="J13" i="80"/>
  <c r="K13" i="80"/>
  <c r="L13" i="80"/>
  <c r="A14" i="80"/>
  <c r="B14" i="80"/>
  <c r="C14" i="80"/>
  <c r="D14" i="80"/>
  <c r="E14" i="80"/>
  <c r="I14" i="80"/>
  <c r="J14" i="80"/>
  <c r="K14" i="80"/>
  <c r="L14" i="80"/>
  <c r="A15" i="80"/>
  <c r="B15" i="80"/>
  <c r="C15" i="80"/>
  <c r="D15" i="80"/>
  <c r="E15" i="80"/>
  <c r="I15" i="80"/>
  <c r="J15" i="80"/>
  <c r="K15" i="80"/>
  <c r="L15" i="80"/>
  <c r="A16" i="80"/>
  <c r="B16" i="80"/>
  <c r="C16" i="80"/>
  <c r="D16" i="80"/>
  <c r="E16" i="80"/>
  <c r="I16" i="80"/>
  <c r="J16" i="80"/>
  <c r="K16" i="80"/>
  <c r="L16" i="80"/>
  <c r="A17" i="80"/>
  <c r="B17" i="80"/>
  <c r="C17" i="80"/>
  <c r="D17" i="80"/>
  <c r="E17" i="80"/>
  <c r="I17" i="80"/>
  <c r="J17" i="80"/>
  <c r="K17" i="80"/>
  <c r="L17" i="80"/>
  <c r="A18" i="80"/>
  <c r="B18" i="80"/>
  <c r="C18" i="80"/>
  <c r="D18" i="80"/>
  <c r="E18" i="80"/>
  <c r="I18" i="80"/>
  <c r="J18" i="80"/>
  <c r="K18" i="80"/>
  <c r="L18" i="80"/>
  <c r="A19" i="80"/>
  <c r="B19" i="80"/>
  <c r="C19" i="80"/>
  <c r="D19" i="80"/>
  <c r="E19" i="80"/>
  <c r="I19" i="80"/>
  <c r="J19" i="80"/>
  <c r="K19" i="80"/>
  <c r="L19" i="80"/>
  <c r="A3" i="78"/>
  <c r="B3" i="78"/>
  <c r="C3" i="78"/>
  <c r="D3" i="78"/>
  <c r="E3" i="78"/>
  <c r="I3" i="78"/>
  <c r="J3" i="78"/>
  <c r="K3" i="78"/>
  <c r="L3" i="78"/>
  <c r="A4" i="78"/>
  <c r="B4" i="78"/>
  <c r="C4" i="78"/>
  <c r="D4" i="78"/>
  <c r="E4" i="78"/>
  <c r="I4" i="78"/>
  <c r="J4" i="78"/>
  <c r="K4" i="78"/>
  <c r="L4" i="78"/>
  <c r="A5" i="78"/>
  <c r="B5" i="78"/>
  <c r="C5" i="78"/>
  <c r="D5" i="78"/>
  <c r="E5" i="78"/>
  <c r="I5" i="78"/>
  <c r="J5" i="78"/>
  <c r="K5" i="78"/>
  <c r="L5" i="78"/>
  <c r="A6" i="78"/>
  <c r="B6" i="78"/>
  <c r="C6" i="78"/>
  <c r="D6" i="78"/>
  <c r="E6" i="78"/>
  <c r="I6" i="78"/>
  <c r="J6" i="78"/>
  <c r="K6" i="78"/>
  <c r="L6" i="78"/>
  <c r="A7" i="78"/>
  <c r="B7" i="78"/>
  <c r="C7" i="78"/>
  <c r="D7" i="78"/>
  <c r="E7" i="78"/>
  <c r="I7" i="78"/>
  <c r="J7" i="78"/>
  <c r="K7" i="78"/>
  <c r="L7" i="78"/>
  <c r="A8" i="78"/>
  <c r="B8" i="78"/>
  <c r="C8" i="78"/>
  <c r="D8" i="78"/>
  <c r="E8" i="78"/>
  <c r="H8" i="78"/>
  <c r="I8" i="78"/>
  <c r="J8" i="78"/>
  <c r="K8" i="78"/>
  <c r="L8" i="78"/>
  <c r="A9" i="78"/>
  <c r="B9" i="78"/>
  <c r="C9" i="78"/>
  <c r="D9" i="78"/>
  <c r="E9" i="78"/>
  <c r="I9" i="78"/>
  <c r="J9" i="78"/>
  <c r="K9" i="78"/>
  <c r="L9" i="78"/>
  <c r="A10" i="78"/>
  <c r="B10" i="78"/>
  <c r="C10" i="78"/>
  <c r="D10" i="78"/>
  <c r="E10" i="78"/>
  <c r="I10" i="78"/>
  <c r="J10" i="78"/>
  <c r="K10" i="78"/>
  <c r="L10" i="78"/>
  <c r="A11" i="78"/>
  <c r="B11" i="78"/>
  <c r="C11" i="78"/>
  <c r="D11" i="78"/>
  <c r="E11" i="78"/>
  <c r="I11" i="78"/>
  <c r="J11" i="78"/>
  <c r="K11" i="78"/>
  <c r="L11" i="78"/>
  <c r="A12" i="78"/>
  <c r="B12" i="78"/>
  <c r="C12" i="78"/>
  <c r="D12" i="78"/>
  <c r="E12" i="78"/>
  <c r="I12" i="78"/>
  <c r="J12" i="78"/>
  <c r="K12" i="78"/>
  <c r="L12" i="78"/>
  <c r="A13" i="78"/>
  <c r="B13" i="78"/>
  <c r="C13" i="78"/>
  <c r="D13" i="78"/>
  <c r="E13" i="78"/>
  <c r="I13" i="78"/>
  <c r="J13" i="78"/>
  <c r="K13" i="78"/>
  <c r="L13" i="78"/>
  <c r="M13" i="78"/>
  <c r="A14" i="78"/>
  <c r="B14" i="78"/>
  <c r="C14" i="78"/>
  <c r="D14" i="78"/>
  <c r="E14" i="78"/>
  <c r="I14" i="78"/>
  <c r="J14" i="78"/>
  <c r="K14" i="78"/>
  <c r="L14" i="78"/>
  <c r="A15" i="78"/>
  <c r="B15" i="78"/>
  <c r="C15" i="78"/>
  <c r="D15" i="78"/>
  <c r="E15" i="78"/>
  <c r="I15" i="78"/>
  <c r="J15" i="78"/>
  <c r="K15" i="78"/>
  <c r="L15" i="78"/>
  <c r="A3" i="77"/>
  <c r="B3" i="77"/>
  <c r="C3" i="77"/>
  <c r="D3" i="77"/>
  <c r="E3" i="77"/>
  <c r="H3" i="77"/>
  <c r="I3" i="77"/>
  <c r="J3" i="77"/>
  <c r="K3" i="77"/>
  <c r="L3" i="77"/>
  <c r="A4" i="77"/>
  <c r="B4" i="77"/>
  <c r="C4" i="77"/>
  <c r="D4" i="77"/>
  <c r="E4" i="77"/>
  <c r="I4" i="77"/>
  <c r="J4" i="77"/>
  <c r="K4" i="77"/>
  <c r="L4" i="77"/>
  <c r="A5" i="77"/>
  <c r="B5" i="77"/>
  <c r="C5" i="77"/>
  <c r="D5" i="77"/>
  <c r="E5" i="77"/>
  <c r="I5" i="77"/>
  <c r="J5" i="77"/>
  <c r="K5" i="77"/>
  <c r="L5" i="77"/>
  <c r="A6" i="77"/>
  <c r="B6" i="77"/>
  <c r="C6" i="77"/>
  <c r="D6" i="77"/>
  <c r="E6" i="77"/>
  <c r="I6" i="77"/>
  <c r="J6" i="77"/>
  <c r="K6" i="77"/>
  <c r="L6" i="77"/>
  <c r="A7" i="77"/>
  <c r="B7" i="77"/>
  <c r="C7" i="77"/>
  <c r="D7" i="77"/>
  <c r="E7" i="77"/>
  <c r="I7" i="77"/>
  <c r="J7" i="77"/>
  <c r="K7" i="77"/>
  <c r="L7" i="77"/>
  <c r="A8" i="77"/>
  <c r="B8" i="77"/>
  <c r="C8" i="77"/>
  <c r="D8" i="77"/>
  <c r="E8" i="77"/>
  <c r="I8" i="77"/>
  <c r="J8" i="77"/>
  <c r="K8" i="77"/>
  <c r="L8" i="77"/>
  <c r="A9" i="77"/>
  <c r="B9" i="77"/>
  <c r="C9" i="77"/>
  <c r="D9" i="77"/>
  <c r="E9" i="77"/>
  <c r="I9" i="77"/>
  <c r="J9" i="77"/>
  <c r="K9" i="77"/>
  <c r="L9" i="77"/>
  <c r="A10" i="77"/>
  <c r="B10" i="77"/>
  <c r="C10" i="77"/>
  <c r="D10" i="77"/>
  <c r="E10" i="77"/>
  <c r="I10" i="77"/>
  <c r="J10" i="77"/>
  <c r="K10" i="77"/>
  <c r="L10" i="77"/>
  <c r="A11" i="77"/>
  <c r="B11" i="77"/>
  <c r="C11" i="77"/>
  <c r="D11" i="77"/>
  <c r="E11" i="77"/>
  <c r="H11" i="77"/>
  <c r="I11" i="77"/>
  <c r="J11" i="77"/>
  <c r="K11" i="77"/>
  <c r="L11" i="77"/>
  <c r="A12" i="77"/>
  <c r="B12" i="77"/>
  <c r="C12" i="77"/>
  <c r="D12" i="77"/>
  <c r="E12" i="77"/>
  <c r="I12" i="77"/>
  <c r="J12" i="77"/>
  <c r="K12" i="77"/>
  <c r="L12" i="77"/>
  <c r="A13" i="77"/>
  <c r="B13" i="77"/>
  <c r="C13" i="77"/>
  <c r="D13" i="77"/>
  <c r="E13" i="77"/>
  <c r="I13" i="77"/>
  <c r="J13" i="77"/>
  <c r="K13" i="77"/>
  <c r="L13" i="77"/>
  <c r="A3" i="76"/>
  <c r="B3" i="76"/>
  <c r="C3" i="76"/>
  <c r="D3" i="76"/>
  <c r="E3" i="76"/>
  <c r="I3" i="76"/>
  <c r="J3" i="76"/>
  <c r="K3" i="76"/>
  <c r="L3" i="76"/>
  <c r="A4" i="76"/>
  <c r="B4" i="76"/>
  <c r="C4" i="76"/>
  <c r="D4" i="76"/>
  <c r="E4" i="76"/>
  <c r="I4" i="76"/>
  <c r="J4" i="76"/>
  <c r="K4" i="76"/>
  <c r="L4" i="76"/>
  <c r="A5" i="76"/>
  <c r="B5" i="76"/>
  <c r="C5" i="76"/>
  <c r="D5" i="76"/>
  <c r="E5" i="76"/>
  <c r="I5" i="76"/>
  <c r="J5" i="76"/>
  <c r="K5" i="76"/>
  <c r="L5" i="76"/>
  <c r="A6" i="76"/>
  <c r="B6" i="76"/>
  <c r="C6" i="76"/>
  <c r="D6" i="76"/>
  <c r="E6" i="76"/>
  <c r="I6" i="76"/>
  <c r="J6" i="76"/>
  <c r="K6" i="76"/>
  <c r="L6" i="76"/>
  <c r="M6" i="76"/>
  <c r="A7" i="76"/>
  <c r="B7" i="76"/>
  <c r="C7" i="76"/>
  <c r="D7" i="76"/>
  <c r="E7" i="76"/>
  <c r="I7" i="76"/>
  <c r="J7" i="76"/>
  <c r="K7" i="76"/>
  <c r="L7" i="76"/>
  <c r="A8" i="76"/>
  <c r="B8" i="76"/>
  <c r="C8" i="76"/>
  <c r="D8" i="76"/>
  <c r="E8" i="76"/>
  <c r="I8" i="76"/>
  <c r="J8" i="76"/>
  <c r="K8" i="76"/>
  <c r="L8" i="76"/>
  <c r="A9" i="76"/>
  <c r="B9" i="76"/>
  <c r="C9" i="76"/>
  <c r="D9" i="76"/>
  <c r="E9" i="76"/>
  <c r="I9" i="76"/>
  <c r="J9" i="76"/>
  <c r="K9" i="76"/>
  <c r="L9" i="76"/>
  <c r="A10" i="76"/>
  <c r="B10" i="76"/>
  <c r="C10" i="76"/>
  <c r="D10" i="76"/>
  <c r="E10" i="76"/>
  <c r="I10" i="76"/>
  <c r="J10" i="76"/>
  <c r="K10" i="76"/>
  <c r="L10" i="76"/>
  <c r="A11" i="76"/>
  <c r="B11" i="76"/>
  <c r="C11" i="76"/>
  <c r="D11" i="76"/>
  <c r="E11" i="76"/>
  <c r="I11" i="76"/>
  <c r="J11" i="76"/>
  <c r="K11" i="76"/>
  <c r="L11" i="76"/>
  <c r="A12" i="76"/>
  <c r="B12" i="76"/>
  <c r="C12" i="76"/>
  <c r="D12" i="76"/>
  <c r="E12" i="76"/>
  <c r="I12" i="76"/>
  <c r="J12" i="76"/>
  <c r="K12" i="76"/>
  <c r="L12" i="76"/>
  <c r="A13" i="76"/>
  <c r="B13" i="76"/>
  <c r="C13" i="76"/>
  <c r="D13" i="76"/>
  <c r="E13" i="76"/>
  <c r="I13" i="76"/>
  <c r="J13" i="76"/>
  <c r="K13" i="76"/>
  <c r="L13" i="76"/>
  <c r="A14" i="76"/>
  <c r="B14" i="76"/>
  <c r="C14" i="76"/>
  <c r="D14" i="76"/>
  <c r="E14" i="76"/>
  <c r="I14" i="76"/>
  <c r="J14" i="76"/>
  <c r="K14" i="76"/>
  <c r="L14" i="76"/>
  <c r="M14" i="76"/>
  <c r="A15" i="76"/>
  <c r="B15" i="76"/>
  <c r="C15" i="76"/>
  <c r="D15" i="76"/>
  <c r="E15" i="76"/>
  <c r="I15" i="76"/>
  <c r="J15" i="76"/>
  <c r="K15" i="76"/>
  <c r="L15" i="76"/>
  <c r="A16" i="76"/>
  <c r="B16" i="76"/>
  <c r="C16" i="76"/>
  <c r="D16" i="76"/>
  <c r="E16" i="76"/>
  <c r="H16" i="76"/>
  <c r="I16" i="76"/>
  <c r="J16" i="76"/>
  <c r="K16" i="76"/>
  <c r="L16" i="76"/>
  <c r="A17" i="76"/>
  <c r="B17" i="76"/>
  <c r="C17" i="76"/>
  <c r="D17" i="76"/>
  <c r="E17" i="76"/>
  <c r="I17" i="76"/>
  <c r="J17" i="76"/>
  <c r="K17" i="76"/>
  <c r="L17" i="76"/>
  <c r="A18" i="76"/>
  <c r="B18" i="76"/>
  <c r="C18" i="76"/>
  <c r="D18" i="76"/>
  <c r="E18" i="76"/>
  <c r="I18" i="76"/>
  <c r="J18" i="76"/>
  <c r="K18" i="76"/>
  <c r="L18" i="76"/>
  <c r="A19" i="76"/>
  <c r="B19" i="76"/>
  <c r="C19" i="76"/>
  <c r="D19" i="76"/>
  <c r="E19" i="76"/>
  <c r="I19" i="76"/>
  <c r="J19" i="76"/>
  <c r="K19" i="76"/>
  <c r="L19" i="76"/>
  <c r="A20" i="76"/>
  <c r="B20" i="76"/>
  <c r="C20" i="76"/>
  <c r="D20" i="76"/>
  <c r="E20" i="76"/>
  <c r="I20" i="76"/>
  <c r="J20" i="76"/>
  <c r="K20" i="76"/>
  <c r="L20" i="76"/>
  <c r="A21" i="76"/>
  <c r="B21" i="76"/>
  <c r="C21" i="76"/>
  <c r="D21" i="76"/>
  <c r="E21" i="76"/>
  <c r="I21" i="76"/>
  <c r="J21" i="76"/>
  <c r="K21" i="76"/>
  <c r="L21" i="76"/>
  <c r="A3" i="74"/>
  <c r="B3" i="74"/>
  <c r="C3" i="74"/>
  <c r="D3" i="74"/>
  <c r="E3" i="74"/>
  <c r="I3" i="74"/>
  <c r="J3" i="74"/>
  <c r="K3" i="74"/>
  <c r="L3" i="74"/>
  <c r="A4" i="74"/>
  <c r="B4" i="74"/>
  <c r="C4" i="74"/>
  <c r="D4" i="74"/>
  <c r="E4" i="74"/>
  <c r="I4" i="74"/>
  <c r="J4" i="74"/>
  <c r="K4" i="74"/>
  <c r="L4" i="74"/>
  <c r="A5" i="74"/>
  <c r="B5" i="74"/>
  <c r="C5" i="74"/>
  <c r="D5" i="74"/>
  <c r="E5" i="74"/>
  <c r="H5" i="74"/>
  <c r="I5" i="74"/>
  <c r="J5" i="74"/>
  <c r="K5" i="74"/>
  <c r="L5" i="74"/>
  <c r="A6" i="74"/>
  <c r="B6" i="74"/>
  <c r="C6" i="74"/>
  <c r="D6" i="74"/>
  <c r="E6" i="74"/>
  <c r="I6" i="74"/>
  <c r="J6" i="74"/>
  <c r="K6" i="74"/>
  <c r="L6" i="74"/>
  <c r="A7" i="74"/>
  <c r="B7" i="74"/>
  <c r="C7" i="74"/>
  <c r="D7" i="74"/>
  <c r="E7" i="74"/>
  <c r="I7" i="74"/>
  <c r="J7" i="74"/>
  <c r="K7" i="74"/>
  <c r="L7" i="74"/>
  <c r="A8" i="74"/>
  <c r="B8" i="74"/>
  <c r="C8" i="74"/>
  <c r="D8" i="74"/>
  <c r="E8" i="74"/>
  <c r="I8" i="74"/>
  <c r="J8" i="74"/>
  <c r="K8" i="74"/>
  <c r="L8" i="74"/>
  <c r="A9" i="74"/>
  <c r="B9" i="74"/>
  <c r="C9" i="74"/>
  <c r="D9" i="74"/>
  <c r="E9" i="74"/>
  <c r="I9" i="74"/>
  <c r="J9" i="74"/>
  <c r="K9" i="74"/>
  <c r="L9" i="74"/>
  <c r="A10" i="74"/>
  <c r="B10" i="74"/>
  <c r="C10" i="74"/>
  <c r="D10" i="74"/>
  <c r="E10" i="74"/>
  <c r="I10" i="74"/>
  <c r="J10" i="74"/>
  <c r="K10" i="74"/>
  <c r="L10" i="74"/>
  <c r="M10" i="74"/>
  <c r="A11" i="74"/>
  <c r="B11" i="74"/>
  <c r="C11" i="74"/>
  <c r="D11" i="74"/>
  <c r="E11" i="74"/>
  <c r="I11" i="74"/>
  <c r="J11" i="74"/>
  <c r="K11" i="74"/>
  <c r="L11" i="74"/>
  <c r="A12" i="74"/>
  <c r="B12" i="74"/>
  <c r="C12" i="74"/>
  <c r="D12" i="74"/>
  <c r="E12" i="74"/>
  <c r="I12" i="74"/>
  <c r="J12" i="74"/>
  <c r="K12" i="74"/>
  <c r="L12" i="74"/>
  <c r="A13" i="74"/>
  <c r="B13" i="74"/>
  <c r="C13" i="74"/>
  <c r="D13" i="74"/>
  <c r="E13" i="74"/>
  <c r="H13" i="74"/>
  <c r="I13" i="74"/>
  <c r="J13" i="74"/>
  <c r="K13" i="74"/>
  <c r="L13" i="74"/>
  <c r="A14" i="74"/>
  <c r="B14" i="74"/>
  <c r="C14" i="74"/>
  <c r="D14" i="74"/>
  <c r="E14" i="74"/>
  <c r="I14" i="74"/>
  <c r="J14" i="74"/>
  <c r="K14" i="74"/>
  <c r="L14" i="74"/>
  <c r="A15" i="74"/>
  <c r="B15" i="74"/>
  <c r="C15" i="74"/>
  <c r="D15" i="74"/>
  <c r="E15" i="74"/>
  <c r="I15" i="74"/>
  <c r="J15" i="74"/>
  <c r="K15" i="74"/>
  <c r="L15" i="74"/>
  <c r="A16" i="74"/>
  <c r="B16" i="74"/>
  <c r="C16" i="74"/>
  <c r="D16" i="74"/>
  <c r="E16" i="74"/>
  <c r="I16" i="74"/>
  <c r="J16" i="74"/>
  <c r="K16" i="74"/>
  <c r="L16" i="74"/>
  <c r="A17" i="74"/>
  <c r="B17" i="74"/>
  <c r="C17" i="74"/>
  <c r="D17" i="74"/>
  <c r="E17" i="74"/>
  <c r="I17" i="74"/>
  <c r="J17" i="74"/>
  <c r="K17" i="74"/>
  <c r="L17" i="74"/>
  <c r="A18" i="74"/>
  <c r="B18" i="74"/>
  <c r="C18" i="74"/>
  <c r="D18" i="74"/>
  <c r="E18" i="74"/>
  <c r="I18" i="74"/>
  <c r="J18" i="74"/>
  <c r="K18" i="74"/>
  <c r="L18" i="74"/>
  <c r="A19" i="74"/>
  <c r="B19" i="74"/>
  <c r="C19" i="74"/>
  <c r="D19" i="74"/>
  <c r="E19" i="74"/>
  <c r="I19" i="74"/>
  <c r="J19" i="74"/>
  <c r="K19" i="74"/>
  <c r="L19" i="74"/>
  <c r="A20" i="74"/>
  <c r="B20" i="74"/>
  <c r="C20" i="74"/>
  <c r="D20" i="74"/>
  <c r="E20" i="74"/>
  <c r="I20" i="74"/>
  <c r="J20" i="74"/>
  <c r="K20" i="74"/>
  <c r="L20" i="74"/>
  <c r="A21" i="74"/>
  <c r="B21" i="74"/>
  <c r="C21" i="74"/>
  <c r="D21" i="74"/>
  <c r="E21" i="74"/>
  <c r="I21" i="74"/>
  <c r="J21" i="74"/>
  <c r="K21" i="74"/>
  <c r="L21" i="74"/>
  <c r="A3" i="72"/>
  <c r="B3" i="72"/>
  <c r="C3" i="72"/>
  <c r="D3" i="72"/>
  <c r="E3" i="72"/>
  <c r="I3" i="72"/>
  <c r="J3" i="72"/>
  <c r="K3" i="72"/>
  <c r="L3" i="72"/>
  <c r="A4" i="72"/>
  <c r="B4" i="72"/>
  <c r="C4" i="72"/>
  <c r="D4" i="72"/>
  <c r="E4" i="72"/>
  <c r="I4" i="72"/>
  <c r="J4" i="72"/>
  <c r="K4" i="72"/>
  <c r="L4" i="72"/>
  <c r="A5" i="72"/>
  <c r="B5" i="72"/>
  <c r="C5" i="72"/>
  <c r="D5" i="72"/>
  <c r="E5" i="72"/>
  <c r="I5" i="72"/>
  <c r="J5" i="72"/>
  <c r="K5" i="72"/>
  <c r="L5" i="72"/>
  <c r="A6" i="72"/>
  <c r="B6" i="72"/>
  <c r="C6" i="72"/>
  <c r="D6" i="72"/>
  <c r="E6" i="72"/>
  <c r="I6" i="72"/>
  <c r="J6" i="72"/>
  <c r="K6" i="72"/>
  <c r="L6" i="72"/>
  <c r="A7" i="72"/>
  <c r="B7" i="72"/>
  <c r="C7" i="72"/>
  <c r="D7" i="72"/>
  <c r="E7" i="72"/>
  <c r="I7" i="72"/>
  <c r="J7" i="72"/>
  <c r="K7" i="72"/>
  <c r="L7" i="72"/>
  <c r="A8" i="72"/>
  <c r="B8" i="72"/>
  <c r="C8" i="72"/>
  <c r="D8" i="72"/>
  <c r="E8" i="72"/>
  <c r="I8" i="72"/>
  <c r="J8" i="72"/>
  <c r="K8" i="72"/>
  <c r="L8" i="72"/>
  <c r="A9" i="72"/>
  <c r="B9" i="72"/>
  <c r="C9" i="72"/>
  <c r="D9" i="72"/>
  <c r="E9" i="72"/>
  <c r="I9" i="72"/>
  <c r="J9" i="72"/>
  <c r="K9" i="72"/>
  <c r="L9" i="72"/>
  <c r="A10" i="72"/>
  <c r="B10" i="72"/>
  <c r="C10" i="72"/>
  <c r="D10" i="72"/>
  <c r="E10" i="72"/>
  <c r="H10" i="72"/>
  <c r="I10" i="72"/>
  <c r="J10" i="72"/>
  <c r="K10" i="72"/>
  <c r="L10" i="72"/>
  <c r="A11" i="72"/>
  <c r="B11" i="72"/>
  <c r="C11" i="72"/>
  <c r="D11" i="72"/>
  <c r="E11" i="72"/>
  <c r="I11" i="72"/>
  <c r="J11" i="72"/>
  <c r="K11" i="72"/>
  <c r="L11" i="72"/>
  <c r="A12" i="72"/>
  <c r="B12" i="72"/>
  <c r="C12" i="72"/>
  <c r="D12" i="72"/>
  <c r="E12" i="72"/>
  <c r="I12" i="72"/>
  <c r="J12" i="72"/>
  <c r="K12" i="72"/>
  <c r="L12" i="72"/>
  <c r="A13" i="72"/>
  <c r="B13" i="72"/>
  <c r="C13" i="72"/>
  <c r="D13" i="72"/>
  <c r="E13" i="72"/>
  <c r="I13" i="72"/>
  <c r="J13" i="72"/>
  <c r="K13" i="72"/>
  <c r="L13" i="72"/>
  <c r="A14" i="72"/>
  <c r="B14" i="72"/>
  <c r="C14" i="72"/>
  <c r="D14" i="72"/>
  <c r="E14" i="72"/>
  <c r="I14" i="72"/>
  <c r="J14" i="72"/>
  <c r="K14" i="72"/>
  <c r="L14" i="72"/>
  <c r="A15" i="72"/>
  <c r="B15" i="72"/>
  <c r="C15" i="72"/>
  <c r="D15" i="72"/>
  <c r="E15" i="72"/>
  <c r="I15" i="72"/>
  <c r="J15" i="72"/>
  <c r="K15" i="72"/>
  <c r="L15" i="72"/>
  <c r="A16" i="72"/>
  <c r="B16" i="72"/>
  <c r="C16" i="72"/>
  <c r="D16" i="72"/>
  <c r="E16" i="72"/>
  <c r="I16" i="72"/>
  <c r="J16" i="72"/>
  <c r="K16" i="72"/>
  <c r="L16" i="72"/>
  <c r="M16" i="72"/>
  <c r="A17" i="72"/>
  <c r="B17" i="72"/>
  <c r="C17" i="72"/>
  <c r="D17" i="72"/>
  <c r="E17" i="72"/>
  <c r="I17" i="72"/>
  <c r="J17" i="72"/>
  <c r="K17" i="72"/>
  <c r="L17" i="72"/>
  <c r="A18" i="72"/>
  <c r="B18" i="72"/>
  <c r="C18" i="72"/>
  <c r="D18" i="72"/>
  <c r="E18" i="72"/>
  <c r="H18" i="72"/>
  <c r="I18" i="72"/>
  <c r="J18" i="72"/>
  <c r="K18" i="72"/>
  <c r="L18" i="72"/>
  <c r="A19" i="72"/>
  <c r="B19" i="72"/>
  <c r="C19" i="72"/>
  <c r="D19" i="72"/>
  <c r="E19" i="72"/>
  <c r="I19" i="72"/>
  <c r="J19" i="72"/>
  <c r="K19" i="72"/>
  <c r="L19" i="72"/>
  <c r="A20" i="72"/>
  <c r="B20" i="72"/>
  <c r="C20" i="72"/>
  <c r="D20" i="72"/>
  <c r="E20" i="72"/>
  <c r="I20" i="72"/>
  <c r="J20" i="72"/>
  <c r="K20" i="72"/>
  <c r="L20" i="72"/>
  <c r="A21" i="72"/>
  <c r="B21" i="72"/>
  <c r="C21" i="72"/>
  <c r="D21" i="72"/>
  <c r="E21" i="72"/>
  <c r="I21" i="72"/>
  <c r="J21" i="72"/>
  <c r="K21" i="72"/>
  <c r="L21" i="72"/>
  <c r="L2" i="73"/>
  <c r="K2" i="73"/>
  <c r="J2" i="73"/>
  <c r="I2" i="73"/>
  <c r="E2" i="73"/>
  <c r="D2" i="73"/>
  <c r="C2" i="73"/>
  <c r="B2" i="73"/>
  <c r="A2" i="73"/>
  <c r="L2" i="74"/>
  <c r="K2" i="74"/>
  <c r="J2" i="74"/>
  <c r="I2" i="74"/>
  <c r="E2" i="74"/>
  <c r="D2" i="74"/>
  <c r="C2" i="74"/>
  <c r="B2" i="74"/>
  <c r="A2" i="74"/>
  <c r="L2" i="75"/>
  <c r="K2" i="75"/>
  <c r="J2" i="75"/>
  <c r="I2" i="75"/>
  <c r="E2" i="75"/>
  <c r="D2" i="75"/>
  <c r="C2" i="75"/>
  <c r="B2" i="75"/>
  <c r="A2" i="75"/>
  <c r="L2" i="76"/>
  <c r="K2" i="76"/>
  <c r="J2" i="76"/>
  <c r="I2" i="76"/>
  <c r="E2" i="76"/>
  <c r="D2" i="76"/>
  <c r="C2" i="76"/>
  <c r="B2" i="76"/>
  <c r="A2" i="76"/>
  <c r="L2" i="77"/>
  <c r="K2" i="77"/>
  <c r="J2" i="77"/>
  <c r="I2" i="77"/>
  <c r="H2" i="77"/>
  <c r="E2" i="77"/>
  <c r="D2" i="77"/>
  <c r="C2" i="77"/>
  <c r="B2" i="77"/>
  <c r="A2" i="77"/>
  <c r="L2" i="78"/>
  <c r="K2" i="78"/>
  <c r="J2" i="78"/>
  <c r="I2" i="78"/>
  <c r="E2" i="78"/>
  <c r="D2" i="78"/>
  <c r="C2" i="78"/>
  <c r="B2" i="78"/>
  <c r="A2" i="78"/>
  <c r="L2" i="80"/>
  <c r="K2" i="80"/>
  <c r="J2" i="80"/>
  <c r="I2" i="80"/>
  <c r="E2" i="80"/>
  <c r="D2" i="80"/>
  <c r="C2" i="80"/>
  <c r="B2" i="80"/>
  <c r="A2" i="80"/>
  <c r="L2" i="81"/>
  <c r="K2" i="81"/>
  <c r="J2" i="81"/>
  <c r="I2" i="81"/>
  <c r="E2" i="81"/>
  <c r="D2" i="81"/>
  <c r="C2" i="81"/>
  <c r="B2" i="81"/>
  <c r="A2" i="81"/>
  <c r="L2" i="79"/>
  <c r="K2" i="79"/>
  <c r="J2" i="79"/>
  <c r="I2" i="79"/>
  <c r="E2" i="79"/>
  <c r="D2" i="79"/>
  <c r="C2" i="79"/>
  <c r="B2" i="79"/>
  <c r="A2" i="79"/>
  <c r="L2" i="82"/>
  <c r="K2" i="82"/>
  <c r="J2" i="82"/>
  <c r="I2" i="82"/>
  <c r="E2" i="82"/>
  <c r="D2" i="82"/>
  <c r="C2" i="82"/>
  <c r="B2" i="82"/>
  <c r="A2" i="82"/>
  <c r="L2" i="84"/>
  <c r="K2" i="84"/>
  <c r="J2" i="84"/>
  <c r="I2" i="84"/>
  <c r="E2" i="84"/>
  <c r="D2" i="84"/>
  <c r="C2" i="84"/>
  <c r="B2" i="84"/>
  <c r="A2" i="84"/>
  <c r="L2" i="83"/>
  <c r="K2" i="83"/>
  <c r="J2" i="83"/>
  <c r="I2" i="83"/>
  <c r="E2" i="83"/>
  <c r="D2" i="83"/>
  <c r="C2" i="83"/>
  <c r="B2" i="83"/>
  <c r="A2" i="83"/>
  <c r="L2" i="85"/>
  <c r="K2" i="85"/>
  <c r="J2" i="85"/>
  <c r="I2" i="85"/>
  <c r="E2" i="85"/>
  <c r="D2" i="85"/>
  <c r="C2" i="85"/>
  <c r="B2" i="85"/>
  <c r="A2" i="85"/>
  <c r="L2" i="86"/>
  <c r="K2" i="86"/>
  <c r="J2" i="86"/>
  <c r="I2" i="86"/>
  <c r="E2" i="86"/>
  <c r="D2" i="86"/>
  <c r="C2" i="86"/>
  <c r="B2" i="86"/>
  <c r="A2" i="86"/>
  <c r="L2" i="87"/>
  <c r="K2" i="87"/>
  <c r="J2" i="87"/>
  <c r="I2" i="87"/>
  <c r="E2" i="87"/>
  <c r="D2" i="87"/>
  <c r="C2" i="87"/>
  <c r="B2" i="87"/>
  <c r="A2" i="87"/>
  <c r="L2" i="88"/>
  <c r="K2" i="88"/>
  <c r="J2" i="88"/>
  <c r="I2" i="88"/>
  <c r="E2" i="88"/>
  <c r="D2" i="88"/>
  <c r="C2" i="88"/>
  <c r="B2" i="88"/>
  <c r="A2" i="88"/>
  <c r="L2" i="89"/>
  <c r="K2" i="89"/>
  <c r="J2" i="89"/>
  <c r="I2" i="89"/>
  <c r="E2" i="89"/>
  <c r="D2" i="89"/>
  <c r="C2" i="89"/>
  <c r="B2" i="89"/>
  <c r="A2" i="89"/>
  <c r="L2" i="90"/>
  <c r="K2" i="90"/>
  <c r="J2" i="90"/>
  <c r="I2" i="90"/>
  <c r="E2" i="90"/>
  <c r="D2" i="90"/>
  <c r="C2" i="90"/>
  <c r="B2" i="90"/>
  <c r="A2" i="90"/>
  <c r="L2" i="91"/>
  <c r="K2" i="91"/>
  <c r="J2" i="91"/>
  <c r="I2" i="91"/>
  <c r="E2" i="91"/>
  <c r="D2" i="91"/>
  <c r="C2" i="91"/>
  <c r="B2" i="91"/>
  <c r="A2" i="91"/>
  <c r="L2" i="92"/>
  <c r="K2" i="92"/>
  <c r="J2" i="92"/>
  <c r="I2" i="92"/>
  <c r="E2" i="92"/>
  <c r="D2" i="92"/>
  <c r="C2" i="92"/>
  <c r="B2" i="92"/>
  <c r="A2" i="92"/>
  <c r="L2" i="93"/>
  <c r="K2" i="93"/>
  <c r="J2" i="93"/>
  <c r="I2" i="93"/>
  <c r="H2" i="93"/>
  <c r="E2" i="93"/>
  <c r="D2" i="93"/>
  <c r="C2" i="93"/>
  <c r="B2" i="93"/>
  <c r="A2" i="93"/>
  <c r="L2" i="94"/>
  <c r="K2" i="94"/>
  <c r="J2" i="94"/>
  <c r="I2" i="94"/>
  <c r="E2" i="94"/>
  <c r="D2" i="94"/>
  <c r="C2" i="94"/>
  <c r="B2" i="94"/>
  <c r="A2" i="94"/>
  <c r="L2" i="95"/>
  <c r="K2" i="95"/>
  <c r="J2" i="95"/>
  <c r="I2" i="95"/>
  <c r="E2" i="95"/>
  <c r="D2" i="95"/>
  <c r="C2" i="95"/>
  <c r="B2" i="95"/>
  <c r="A2" i="95"/>
  <c r="M2" i="96"/>
  <c r="L2" i="96"/>
  <c r="K2" i="96"/>
  <c r="J2" i="96"/>
  <c r="I2" i="96"/>
  <c r="E2" i="96"/>
  <c r="D2" i="96"/>
  <c r="C2" i="96"/>
  <c r="B2" i="96"/>
  <c r="A2" i="96"/>
  <c r="L2" i="97"/>
  <c r="K2" i="97"/>
  <c r="J2" i="97"/>
  <c r="I2" i="97"/>
  <c r="E2" i="97"/>
  <c r="D2" i="97"/>
  <c r="C2" i="97"/>
  <c r="B2" i="97"/>
  <c r="A2" i="97"/>
  <c r="L2" i="98"/>
  <c r="K2" i="98"/>
  <c r="J2" i="98"/>
  <c r="I2" i="98"/>
  <c r="E2" i="98"/>
  <c r="D2" i="98"/>
  <c r="C2" i="98"/>
  <c r="B2" i="98"/>
  <c r="A2" i="98"/>
  <c r="L2" i="72"/>
  <c r="K2" i="72"/>
  <c r="J2" i="72"/>
  <c r="I2" i="72"/>
  <c r="E2" i="72"/>
  <c r="D2" i="72"/>
  <c r="C2" i="72"/>
  <c r="B2" i="72"/>
  <c r="A2" i="72"/>
  <c r="A3" i="71"/>
  <c r="B3" i="71"/>
  <c r="C3" i="71"/>
  <c r="D3" i="71"/>
  <c r="E3" i="71"/>
  <c r="G3" i="71"/>
  <c r="A4" i="71"/>
  <c r="B4" i="71"/>
  <c r="C4" i="71"/>
  <c r="D4" i="71"/>
  <c r="E4" i="71"/>
  <c r="G4" i="71"/>
  <c r="A5" i="71"/>
  <c r="B5" i="71"/>
  <c r="C5" i="71"/>
  <c r="D5" i="71"/>
  <c r="E5" i="71"/>
  <c r="G5" i="71"/>
  <c r="A6" i="71"/>
  <c r="B6" i="71"/>
  <c r="C6" i="71"/>
  <c r="D6" i="71"/>
  <c r="E6" i="71"/>
  <c r="G6" i="71"/>
  <c r="A7" i="71"/>
  <c r="B7" i="71"/>
  <c r="C7" i="71"/>
  <c r="D7" i="71"/>
  <c r="E7" i="71"/>
  <c r="G7" i="71"/>
  <c r="A8" i="71"/>
  <c r="B8" i="71"/>
  <c r="C8" i="71"/>
  <c r="D8" i="71"/>
  <c r="E8" i="71"/>
  <c r="G8" i="71"/>
  <c r="A9" i="71"/>
  <c r="B9" i="71"/>
  <c r="C9" i="71"/>
  <c r="D9" i="71"/>
  <c r="E9" i="71"/>
  <c r="G9" i="71"/>
  <c r="A10" i="71"/>
  <c r="B10" i="71"/>
  <c r="C10" i="71"/>
  <c r="D10" i="71"/>
  <c r="E10" i="71"/>
  <c r="G10" i="71"/>
  <c r="A11" i="71"/>
  <c r="B11" i="71"/>
  <c r="C11" i="71"/>
  <c r="D11" i="71"/>
  <c r="E11" i="71"/>
  <c r="G11" i="71"/>
  <c r="A2" i="71"/>
  <c r="B2" i="71"/>
  <c r="C2" i="71"/>
  <c r="D2" i="71"/>
  <c r="E2" i="71"/>
  <c r="G2" i="71"/>
  <c r="H3" i="71"/>
  <c r="I3" i="71"/>
  <c r="J3" i="71"/>
  <c r="K3" i="71"/>
  <c r="L3" i="71"/>
  <c r="I4" i="71"/>
  <c r="J4" i="71"/>
  <c r="K4" i="71"/>
  <c r="L4" i="71"/>
  <c r="I5" i="71"/>
  <c r="J5" i="71"/>
  <c r="K5" i="71"/>
  <c r="L5" i="71"/>
  <c r="I6" i="71"/>
  <c r="J6" i="71"/>
  <c r="K6" i="71"/>
  <c r="L6" i="71"/>
  <c r="I7" i="71"/>
  <c r="J7" i="71"/>
  <c r="K7" i="71"/>
  <c r="L7" i="71"/>
  <c r="I8" i="71"/>
  <c r="J8" i="71"/>
  <c r="K8" i="71"/>
  <c r="L8" i="71"/>
  <c r="I9" i="71"/>
  <c r="J9" i="71"/>
  <c r="K9" i="71"/>
  <c r="L9" i="71"/>
  <c r="I10" i="71"/>
  <c r="J10" i="71"/>
  <c r="K10" i="71"/>
  <c r="L10" i="71"/>
  <c r="M10" i="71"/>
  <c r="I11" i="71"/>
  <c r="J11" i="71"/>
  <c r="K11" i="71"/>
  <c r="L11" i="71"/>
  <c r="I2" i="71"/>
  <c r="J2" i="71"/>
  <c r="K2" i="71"/>
  <c r="L2" i="71"/>
  <c r="U17" i="87"/>
  <c r="S2" i="88"/>
  <c r="Y2" i="88"/>
  <c r="U18" i="87"/>
  <c r="S3" i="88"/>
  <c r="Y3" i="88"/>
  <c r="U9" i="87"/>
  <c r="S4" i="88"/>
  <c r="Y4" i="88"/>
  <c r="U6" i="87"/>
  <c r="S5" i="88"/>
  <c r="Y5" i="88"/>
  <c r="U7" i="87"/>
  <c r="S6" i="88"/>
  <c r="Y6" i="88"/>
  <c r="U2" i="87"/>
  <c r="S7" i="88"/>
  <c r="Y7" i="88"/>
  <c r="U3" i="87"/>
  <c r="S8" i="88"/>
  <c r="Y8" i="88"/>
  <c r="U14" i="87"/>
  <c r="S9" i="88"/>
  <c r="U15" i="87"/>
  <c r="S10" i="88"/>
  <c r="V11" i="88"/>
  <c r="W11" i="88"/>
  <c r="AC11" i="88"/>
  <c r="Y11" i="88"/>
  <c r="V12" i="88"/>
  <c r="W12" i="88"/>
  <c r="V13" i="88"/>
  <c r="W13" i="88"/>
  <c r="V14" i="88"/>
  <c r="W14" i="88"/>
  <c r="V16" i="88"/>
  <c r="S16" i="88"/>
  <c r="W16" i="88"/>
  <c r="Y16" i="88"/>
  <c r="V17" i="88"/>
  <c r="S17" i="88"/>
  <c r="W17" i="88"/>
  <c r="Y17" i="88"/>
  <c r="V18" i="88"/>
  <c r="S18" i="88"/>
  <c r="W18" i="88"/>
  <c r="Y18" i="88"/>
  <c r="V19" i="88"/>
  <c r="S19" i="88"/>
  <c r="W19" i="88"/>
  <c r="Y19" i="88"/>
  <c r="U74" i="87"/>
  <c r="V2" i="88"/>
  <c r="AB2" i="88"/>
  <c r="U75" i="87"/>
  <c r="V3" i="88"/>
  <c r="AB3" i="88"/>
  <c r="U66" i="87"/>
  <c r="V4" i="88"/>
  <c r="AB4" i="88"/>
  <c r="U63" i="87"/>
  <c r="V5" i="88"/>
  <c r="AB5" i="88"/>
  <c r="U64" i="87"/>
  <c r="V6" i="88"/>
  <c r="AB6" i="88"/>
  <c r="U59" i="87"/>
  <c r="V7" i="88"/>
  <c r="AB7" i="88"/>
  <c r="U60" i="87"/>
  <c r="V8" i="88"/>
  <c r="AB8" i="88"/>
  <c r="U71" i="87"/>
  <c r="V9" i="88"/>
  <c r="U72" i="87"/>
  <c r="V10" i="88"/>
  <c r="AB11" i="88"/>
  <c r="AB16" i="88"/>
  <c r="AB17" i="88"/>
  <c r="AB18" i="88"/>
  <c r="AB19" i="88"/>
  <c r="U36" i="87"/>
  <c r="T2" i="88"/>
  <c r="Z2" i="88"/>
  <c r="U37" i="87"/>
  <c r="T3" i="88"/>
  <c r="Z3" i="88"/>
  <c r="U28" i="87"/>
  <c r="T4" i="88"/>
  <c r="Z4" i="88"/>
  <c r="U25" i="87"/>
  <c r="T5" i="88"/>
  <c r="Z5" i="88"/>
  <c r="U26" i="87"/>
  <c r="T6" i="88"/>
  <c r="Z6" i="88"/>
  <c r="U21" i="87"/>
  <c r="T7" i="88"/>
  <c r="Z7" i="88"/>
  <c r="U22" i="87"/>
  <c r="T8" i="88"/>
  <c r="Z8" i="88"/>
  <c r="U33" i="87"/>
  <c r="T9" i="88"/>
  <c r="U34" i="87"/>
  <c r="T10" i="88"/>
  <c r="Z11" i="88"/>
  <c r="Z13" i="88"/>
  <c r="Z16" i="88"/>
  <c r="Z17" i="88"/>
  <c r="Z18" i="88"/>
  <c r="Z19" i="88"/>
  <c r="U55" i="87"/>
  <c r="U2" i="88"/>
  <c r="AA2" i="88"/>
  <c r="U56" i="87"/>
  <c r="U3" i="88"/>
  <c r="AA3" i="88"/>
  <c r="U47" i="87"/>
  <c r="U4" i="88"/>
  <c r="AA4" i="88"/>
  <c r="U44" i="87"/>
  <c r="U5" i="88"/>
  <c r="AA5" i="88"/>
  <c r="U45" i="87"/>
  <c r="U6" i="88"/>
  <c r="AA6" i="88"/>
  <c r="U40" i="87"/>
  <c r="U7" i="88"/>
  <c r="AA7" i="88"/>
  <c r="U41" i="87"/>
  <c r="U8" i="88"/>
  <c r="AA8" i="88"/>
  <c r="U52" i="87"/>
  <c r="U9" i="88"/>
  <c r="U53" i="87"/>
  <c r="U10" i="88"/>
  <c r="AA11" i="88"/>
  <c r="AA16" i="88"/>
  <c r="AA17" i="88"/>
  <c r="AA18" i="88"/>
  <c r="AA19" i="88"/>
  <c r="R2" i="77"/>
  <c r="H2" i="70"/>
  <c r="S2" i="77"/>
  <c r="R3" i="77"/>
  <c r="S3" i="77"/>
  <c r="R4" i="77"/>
  <c r="S4" i="77"/>
  <c r="R5" i="77"/>
  <c r="S5" i="77"/>
  <c r="R6" i="77"/>
  <c r="S6" i="77"/>
  <c r="R7" i="77"/>
  <c r="S7" i="77"/>
  <c r="R8" i="77"/>
  <c r="S8" i="77"/>
  <c r="R9" i="77"/>
  <c r="S9" i="77"/>
  <c r="R10" i="77"/>
  <c r="S10" i="77"/>
  <c r="R11" i="77"/>
  <c r="S11" i="77"/>
  <c r="R12" i="77"/>
  <c r="S12" i="77"/>
  <c r="R13" i="77"/>
  <c r="S13" i="77"/>
  <c r="M2" i="70"/>
  <c r="M14" i="88"/>
  <c r="K2" i="70"/>
  <c r="L2" i="70"/>
  <c r="J2" i="70"/>
  <c r="I2" i="70"/>
  <c r="G2" i="70"/>
  <c r="F2" i="70"/>
  <c r="E2" i="70"/>
  <c r="D2" i="70"/>
  <c r="C2" i="70"/>
  <c r="B2" i="70"/>
  <c r="A2" i="70"/>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Y3" i="97"/>
  <c r="W3" i="97"/>
  <c r="V3" i="97"/>
  <c r="S3" i="97"/>
  <c r="Y4" i="97"/>
  <c r="W4" i="97"/>
  <c r="V4" i="97"/>
  <c r="Y5" i="97"/>
  <c r="W5" i="97"/>
  <c r="V5" i="97"/>
  <c r="S5" i="97"/>
  <c r="Y6" i="97"/>
  <c r="V6" i="97"/>
  <c r="W6" i="97"/>
  <c r="X6" i="97"/>
  <c r="Y7" i="97"/>
  <c r="V7" i="97"/>
  <c r="W7" i="97"/>
  <c r="X7" i="97"/>
  <c r="Y8" i="97"/>
  <c r="V8" i="97"/>
  <c r="W8" i="97"/>
  <c r="X8" i="97"/>
  <c r="Y9" i="97"/>
  <c r="V9" i="97"/>
  <c r="W9" i="97"/>
  <c r="X9" i="97"/>
  <c r="Y10" i="97"/>
  <c r="V10" i="97"/>
  <c r="W10" i="97"/>
  <c r="X10" i="97"/>
  <c r="Y11" i="97"/>
  <c r="V11" i="97"/>
  <c r="W11" i="97"/>
  <c r="X11" i="97"/>
  <c r="Y12" i="97"/>
  <c r="V12" i="97"/>
  <c r="W12" i="97"/>
  <c r="X12" i="97"/>
  <c r="Y13" i="97"/>
  <c r="V13" i="97"/>
  <c r="W13" i="97"/>
  <c r="X13" i="97"/>
  <c r="Y14" i="97"/>
  <c r="V14" i="97"/>
  <c r="W14" i="97"/>
  <c r="X14" i="97"/>
  <c r="Y15" i="97"/>
  <c r="V15" i="97"/>
  <c r="W15" i="97"/>
  <c r="X15" i="97"/>
  <c r="Y16" i="97"/>
  <c r="V16" i="97"/>
  <c r="W16" i="97"/>
  <c r="X16" i="97"/>
  <c r="Y17" i="97"/>
  <c r="V17" i="97"/>
  <c r="W17" i="97"/>
  <c r="X17" i="97"/>
  <c r="Y18" i="97"/>
  <c r="V18" i="97"/>
  <c r="W18" i="97"/>
  <c r="X18" i="97"/>
  <c r="Y19" i="97"/>
  <c r="V19" i="97"/>
  <c r="W19" i="97"/>
  <c r="X19" i="97"/>
  <c r="Y20" i="97"/>
  <c r="V20" i="97"/>
  <c r="W20" i="97"/>
  <c r="X20" i="97"/>
  <c r="Y21" i="97"/>
  <c r="V21" i="97"/>
  <c r="W21" i="97"/>
  <c r="X21" i="97"/>
  <c r="Y22" i="97"/>
  <c r="V22" i="97"/>
  <c r="W22" i="97"/>
  <c r="X22" i="97"/>
  <c r="Y23" i="97"/>
  <c r="V23" i="97"/>
  <c r="W23" i="97"/>
  <c r="X23" i="97"/>
  <c r="Y24" i="97"/>
  <c r="V24" i="97"/>
  <c r="W24" i="97"/>
  <c r="X24" i="97"/>
  <c r="Y25" i="97"/>
  <c r="V25" i="97"/>
  <c r="W25" i="97"/>
  <c r="X25" i="97"/>
  <c r="Y26" i="97"/>
  <c r="V26" i="97"/>
  <c r="W26" i="97"/>
  <c r="X26" i="97"/>
  <c r="Y27" i="97"/>
  <c r="V27" i="97"/>
  <c r="W27" i="97"/>
  <c r="X27" i="97"/>
  <c r="Y28" i="97"/>
  <c r="V28" i="97"/>
  <c r="W28" i="97"/>
  <c r="X28" i="97"/>
  <c r="Y29" i="97"/>
  <c r="V29" i="97"/>
  <c r="W29" i="97"/>
  <c r="X29" i="97"/>
  <c r="Y30" i="97"/>
  <c r="V30" i="97"/>
  <c r="W30" i="97"/>
  <c r="X30" i="97"/>
  <c r="Y2" i="97"/>
  <c r="X2" i="97"/>
  <c r="W2" i="97"/>
  <c r="U3" i="97"/>
  <c r="U4" i="97"/>
  <c r="U5" i="97"/>
  <c r="U6" i="97"/>
  <c r="U7" i="97"/>
  <c r="U8" i="97"/>
  <c r="U9" i="97"/>
  <c r="U10" i="97"/>
  <c r="U11" i="97"/>
  <c r="U12" i="97"/>
  <c r="U13" i="97"/>
  <c r="U14" i="97"/>
  <c r="U15" i="97"/>
  <c r="U16" i="97"/>
  <c r="U17" i="97"/>
  <c r="U18" i="97"/>
  <c r="U19" i="97"/>
  <c r="U20" i="97"/>
  <c r="U21" i="97"/>
  <c r="U22" i="97"/>
  <c r="U23" i="97"/>
  <c r="U24" i="97"/>
  <c r="U25" i="97"/>
  <c r="U26" i="97"/>
  <c r="U27" i="97"/>
  <c r="U28" i="97"/>
  <c r="U29" i="97"/>
  <c r="U30" i="97"/>
  <c r="U2" i="97"/>
  <c r="T3" i="97"/>
  <c r="T4" i="97"/>
  <c r="T5" i="97"/>
  <c r="T6" i="97"/>
  <c r="T7" i="97"/>
  <c r="T8" i="97"/>
  <c r="T9" i="97"/>
  <c r="T10" i="97"/>
  <c r="T11" i="97"/>
  <c r="T12" i="97"/>
  <c r="T13" i="97"/>
  <c r="T14" i="97"/>
  <c r="T15" i="97"/>
  <c r="T16" i="97"/>
  <c r="T17" i="97"/>
  <c r="T18" i="97"/>
  <c r="T19" i="97"/>
  <c r="T20" i="97"/>
  <c r="T21" i="97"/>
  <c r="T22" i="97"/>
  <c r="T23" i="97"/>
  <c r="T24" i="97"/>
  <c r="T25" i="97"/>
  <c r="T26" i="97"/>
  <c r="T27" i="97"/>
  <c r="T28" i="97"/>
  <c r="T29" i="97"/>
  <c r="T30" i="97"/>
  <c r="T2" i="97"/>
  <c r="S6" i="97"/>
  <c r="S7" i="97"/>
  <c r="S8" i="97"/>
  <c r="S9" i="97"/>
  <c r="S10" i="97"/>
  <c r="S11" i="97"/>
  <c r="S12" i="97"/>
  <c r="S13" i="97"/>
  <c r="S14" i="97"/>
  <c r="S15" i="97"/>
  <c r="S16" i="97"/>
  <c r="S17" i="97"/>
  <c r="S18" i="97"/>
  <c r="S19" i="97"/>
  <c r="S20" i="97"/>
  <c r="S21" i="97"/>
  <c r="S22" i="97"/>
  <c r="S23" i="97"/>
  <c r="S24" i="97"/>
  <c r="S25" i="97"/>
  <c r="S26" i="97"/>
  <c r="S27" i="97"/>
  <c r="S28" i="97"/>
  <c r="S29" i="97"/>
  <c r="S30" i="97"/>
  <c r="R30" i="97"/>
  <c r="CB2" i="96"/>
  <c r="CA2" i="96"/>
  <c r="BZ2" i="96"/>
  <c r="BY2" i="96"/>
  <c r="BX2" i="96"/>
  <c r="BW2" i="96"/>
  <c r="BV2" i="96"/>
  <c r="BU2" i="96"/>
  <c r="BT2" i="96"/>
  <c r="BS2" i="96"/>
  <c r="BR2" i="96"/>
  <c r="BQ2" i="96"/>
  <c r="BP2" i="96"/>
  <c r="BO2" i="96"/>
  <c r="BN2" i="96"/>
  <c r="BM2" i="96"/>
  <c r="BL2" i="96"/>
  <c r="BK2" i="96"/>
  <c r="BJ2" i="96"/>
  <c r="BI2" i="96"/>
  <c r="BH2" i="96"/>
  <c r="BG2" i="96"/>
  <c r="BF2" i="96"/>
  <c r="BE2" i="96"/>
  <c r="BD2" i="96"/>
  <c r="BC2" i="96"/>
  <c r="BB2" i="96"/>
  <c r="BA2" i="96"/>
  <c r="AZ2" i="96"/>
  <c r="AY2" i="96"/>
  <c r="AX2" i="96"/>
  <c r="AW2" i="96"/>
  <c r="AV2" i="96"/>
  <c r="AU2" i="96"/>
  <c r="AT2" i="96"/>
  <c r="AS2" i="96"/>
  <c r="AR2" i="96"/>
  <c r="AQ2" i="96"/>
  <c r="AP2" i="96"/>
  <c r="AO2" i="96"/>
  <c r="AN2" i="96"/>
  <c r="AM2" i="96"/>
  <c r="AL2" i="96"/>
  <c r="AK2" i="96"/>
  <c r="AJ2" i="96"/>
  <c r="AI2" i="96"/>
  <c r="AH2" i="96"/>
  <c r="AG2" i="96"/>
  <c r="AF2" i="96"/>
  <c r="AE2" i="96"/>
  <c r="AD2" i="96"/>
  <c r="AC2" i="96"/>
  <c r="AB2" i="96"/>
  <c r="AA2" i="96"/>
  <c r="Z2" i="96"/>
  <c r="Y2" i="96"/>
  <c r="X2" i="96"/>
  <c r="W2" i="96"/>
  <c r="V2" i="96"/>
  <c r="U2" i="96"/>
  <c r="T2" i="96"/>
  <c r="S2" i="96"/>
  <c r="R2" i="96"/>
  <c r="Q2" i="96"/>
  <c r="DL2" i="95"/>
  <c r="DK2" i="95"/>
  <c r="DJ2" i="95"/>
  <c r="DI2" i="95"/>
  <c r="DH2" i="95"/>
  <c r="DG2" i="95"/>
  <c r="DF2" i="95"/>
  <c r="DE2" i="95"/>
  <c r="DD2" i="95"/>
  <c r="DC2" i="95"/>
  <c r="DB2" i="95"/>
  <c r="DA2" i="95"/>
  <c r="CZ2" i="95"/>
  <c r="CY2" i="95"/>
  <c r="CX2" i="95"/>
  <c r="CW2" i="95"/>
  <c r="CV2" i="95"/>
  <c r="CU2" i="95"/>
  <c r="CT2" i="95"/>
  <c r="CS2" i="95"/>
  <c r="CR2" i="95"/>
  <c r="CQ2" i="95"/>
  <c r="CP2" i="95"/>
  <c r="CO2" i="95"/>
  <c r="CN2" i="95"/>
  <c r="CM2" i="95"/>
  <c r="CL2" i="95"/>
  <c r="CK2" i="95"/>
  <c r="CJ2" i="95"/>
  <c r="CI2" i="95"/>
  <c r="CH2" i="95"/>
  <c r="CG2" i="95"/>
  <c r="CF2" i="95"/>
  <c r="CE2" i="95"/>
  <c r="CD2" i="95"/>
  <c r="CC2" i="95"/>
  <c r="CB2" i="95"/>
  <c r="CA2" i="95"/>
  <c r="BZ2" i="95"/>
  <c r="BY2" i="95"/>
  <c r="BX2" i="95"/>
  <c r="BW2" i="95"/>
  <c r="BV2" i="95"/>
  <c r="BU2" i="95"/>
  <c r="BT2" i="95"/>
  <c r="BS2" i="95"/>
  <c r="BR2" i="95"/>
  <c r="BQ2" i="95"/>
  <c r="BP2" i="95"/>
  <c r="BO2" i="95"/>
  <c r="BN2" i="95"/>
  <c r="BM2" i="95"/>
  <c r="BL2" i="95"/>
  <c r="BK2" i="95"/>
  <c r="BJ2" i="95"/>
  <c r="BI2" i="95"/>
  <c r="BH2" i="95"/>
  <c r="BG2" i="95"/>
  <c r="BF2" i="95"/>
  <c r="BE2" i="95"/>
  <c r="BD2" i="95"/>
  <c r="BC2" i="95"/>
  <c r="BB2" i="95"/>
  <c r="BA2" i="95"/>
  <c r="AZ2" i="95"/>
  <c r="AY2" i="95"/>
  <c r="AX2" i="95"/>
  <c r="AW2" i="95"/>
  <c r="AV2" i="95"/>
  <c r="AU2" i="95"/>
  <c r="AT2" i="95"/>
  <c r="AS2" i="95"/>
  <c r="AR2" i="95"/>
  <c r="AQ2" i="95"/>
  <c r="AP2" i="95"/>
  <c r="AO2" i="95"/>
  <c r="AN2" i="95"/>
  <c r="AM2" i="95"/>
  <c r="AL2" i="95"/>
  <c r="AK2" i="95"/>
  <c r="AJ2" i="95"/>
  <c r="AI2" i="95"/>
  <c r="AH2" i="95"/>
  <c r="AG2" i="95"/>
  <c r="AF2" i="95"/>
  <c r="AE2" i="95"/>
  <c r="AD2" i="95"/>
  <c r="AC2" i="95"/>
  <c r="AB2" i="95"/>
  <c r="AA2" i="95"/>
  <c r="Z2" i="95"/>
  <c r="Y2" i="95"/>
  <c r="X2" i="95"/>
  <c r="W2" i="95"/>
  <c r="V2" i="95"/>
  <c r="U2" i="95"/>
  <c r="T2" i="95"/>
  <c r="S2" i="95"/>
  <c r="R2" i="95"/>
  <c r="Q2" i="95"/>
  <c r="W23" i="94"/>
  <c r="V23" i="94"/>
  <c r="U23" i="94"/>
  <c r="T23" i="94"/>
  <c r="T6" i="94"/>
  <c r="U6" i="94"/>
  <c r="V6" i="94"/>
  <c r="W6" i="94"/>
  <c r="T7" i="94"/>
  <c r="U7" i="94"/>
  <c r="V7" i="94"/>
  <c r="W7" i="94"/>
  <c r="T8" i="94"/>
  <c r="U8" i="94"/>
  <c r="V8" i="94"/>
  <c r="W8" i="94"/>
  <c r="T9" i="94"/>
  <c r="U9" i="94"/>
  <c r="V9" i="94"/>
  <c r="W9" i="94"/>
  <c r="T10" i="94"/>
  <c r="U10" i="94"/>
  <c r="V10" i="94"/>
  <c r="W10" i="94"/>
  <c r="T11" i="94"/>
  <c r="U11" i="94"/>
  <c r="V11" i="94"/>
  <c r="W11" i="94"/>
  <c r="T12" i="94"/>
  <c r="U12" i="94"/>
  <c r="V12" i="94"/>
  <c r="W12" i="94"/>
  <c r="T13" i="94"/>
  <c r="U13" i="94"/>
  <c r="V13" i="94"/>
  <c r="W13" i="94"/>
  <c r="T14" i="94"/>
  <c r="U14" i="94"/>
  <c r="V14" i="94"/>
  <c r="W14" i="94"/>
  <c r="T15" i="94"/>
  <c r="U15" i="94"/>
  <c r="V15" i="94"/>
  <c r="W15" i="94"/>
  <c r="T16" i="94"/>
  <c r="U16" i="94"/>
  <c r="V16" i="94"/>
  <c r="W16" i="94"/>
  <c r="T17" i="94"/>
  <c r="U17" i="94"/>
  <c r="V17" i="94"/>
  <c r="W17" i="94"/>
  <c r="T18" i="94"/>
  <c r="U18" i="94"/>
  <c r="V18" i="94"/>
  <c r="W18" i="94"/>
  <c r="T19" i="94"/>
  <c r="U19" i="94"/>
  <c r="V19" i="94"/>
  <c r="W19" i="94"/>
  <c r="T20" i="94"/>
  <c r="U20" i="94"/>
  <c r="V20" i="94"/>
  <c r="W20" i="94"/>
  <c r="T21" i="94"/>
  <c r="U21" i="94"/>
  <c r="V21" i="94"/>
  <c r="W21" i="94"/>
  <c r="W5" i="94"/>
  <c r="V5" i="94"/>
  <c r="U5" i="94"/>
  <c r="T5" i="94"/>
  <c r="U2" i="94"/>
  <c r="U3" i="94"/>
  <c r="U4" i="94"/>
  <c r="V2" i="94"/>
  <c r="V3" i="94"/>
  <c r="V4" i="94"/>
  <c r="W2" i="94"/>
  <c r="W3" i="94"/>
  <c r="W4" i="94"/>
  <c r="T2" i="94"/>
  <c r="T3" i="94"/>
  <c r="T4" i="94"/>
  <c r="Q23" i="94"/>
  <c r="R6" i="94"/>
  <c r="S6" i="94"/>
  <c r="R7" i="94"/>
  <c r="S7" i="94"/>
  <c r="R8" i="94"/>
  <c r="S8" i="94"/>
  <c r="R9" i="94"/>
  <c r="S9" i="94"/>
  <c r="R10" i="94"/>
  <c r="S10" i="94"/>
  <c r="R11" i="94"/>
  <c r="S11" i="94"/>
  <c r="R12" i="94"/>
  <c r="S12" i="94"/>
  <c r="R13" i="94"/>
  <c r="S13" i="94"/>
  <c r="R14" i="94"/>
  <c r="S14" i="94"/>
  <c r="R15" i="94"/>
  <c r="S15" i="94"/>
  <c r="R16" i="94"/>
  <c r="S16" i="94"/>
  <c r="R17" i="94"/>
  <c r="S17" i="94"/>
  <c r="R18" i="94"/>
  <c r="S18" i="94"/>
  <c r="R19" i="94"/>
  <c r="S19" i="94"/>
  <c r="R20" i="94"/>
  <c r="S20" i="94"/>
  <c r="R21" i="94"/>
  <c r="S21" i="94"/>
  <c r="R22" i="94"/>
  <c r="S22" i="94"/>
  <c r="S5" i="94"/>
  <c r="R5" i="94"/>
  <c r="Q22" i="94"/>
  <c r="S2" i="92"/>
  <c r="U32" i="93"/>
  <c r="V41" i="93"/>
  <c r="U41" i="93"/>
  <c r="V40" i="93"/>
  <c r="U40" i="93"/>
  <c r="V39" i="93"/>
  <c r="U39" i="93"/>
  <c r="V38" i="93"/>
  <c r="U38" i="93"/>
  <c r="V37" i="93"/>
  <c r="U37" i="93"/>
  <c r="V36" i="93"/>
  <c r="U36" i="93"/>
  <c r="V35" i="93"/>
  <c r="U35" i="93"/>
  <c r="V34" i="93"/>
  <c r="U34" i="93"/>
  <c r="V33" i="93"/>
  <c r="U33" i="93"/>
  <c r="U22" i="93"/>
  <c r="V31" i="93"/>
  <c r="U31" i="93"/>
  <c r="V30" i="93"/>
  <c r="U30" i="93"/>
  <c r="V29" i="93"/>
  <c r="U29" i="93"/>
  <c r="V28" i="93"/>
  <c r="U28" i="93"/>
  <c r="V27" i="93"/>
  <c r="U27" i="93"/>
  <c r="V26" i="93"/>
  <c r="U26" i="93"/>
  <c r="V25" i="93"/>
  <c r="U25" i="93"/>
  <c r="V24" i="93"/>
  <c r="U24" i="93"/>
  <c r="V23" i="93"/>
  <c r="U23" i="93"/>
  <c r="U12" i="93"/>
  <c r="V21" i="93"/>
  <c r="U21" i="93"/>
  <c r="V20" i="93"/>
  <c r="U20" i="93"/>
  <c r="V19" i="93"/>
  <c r="U19" i="93"/>
  <c r="V18" i="93"/>
  <c r="U18" i="93"/>
  <c r="V17" i="93"/>
  <c r="U17" i="93"/>
  <c r="V16" i="93"/>
  <c r="U16" i="93"/>
  <c r="V15" i="93"/>
  <c r="U15" i="93"/>
  <c r="V14" i="93"/>
  <c r="U14" i="93"/>
  <c r="V13" i="93"/>
  <c r="U13" i="93"/>
  <c r="U2" i="93"/>
  <c r="V11" i="93"/>
  <c r="U11" i="93"/>
  <c r="V10" i="93"/>
  <c r="U10" i="93"/>
  <c r="V9" i="93"/>
  <c r="U9" i="93"/>
  <c r="V8" i="93"/>
  <c r="U8" i="93"/>
  <c r="V7" i="93"/>
  <c r="U7" i="93"/>
  <c r="V6" i="93"/>
  <c r="U6" i="93"/>
  <c r="V5" i="93"/>
  <c r="U5" i="93"/>
  <c r="V4" i="93"/>
  <c r="U4" i="93"/>
  <c r="V3" i="93"/>
  <c r="U3" i="93"/>
  <c r="S41" i="93"/>
  <c r="R41" i="93"/>
  <c r="Q41" i="93"/>
  <c r="S40" i="93"/>
  <c r="R40" i="93"/>
  <c r="Q40" i="93"/>
  <c r="R39" i="93"/>
  <c r="Q39" i="93"/>
  <c r="R38" i="93"/>
  <c r="Q38" i="93"/>
  <c r="R37" i="93"/>
  <c r="Q37" i="93"/>
  <c r="R36" i="93"/>
  <c r="Q36" i="93"/>
  <c r="R35" i="93"/>
  <c r="Q35" i="93"/>
  <c r="R34" i="93"/>
  <c r="Q34" i="93"/>
  <c r="R33" i="93"/>
  <c r="Q33" i="93"/>
  <c r="R32" i="93"/>
  <c r="Q32" i="93"/>
  <c r="S31" i="93"/>
  <c r="R31" i="93"/>
  <c r="Q31" i="93"/>
  <c r="S30" i="93"/>
  <c r="R30" i="93"/>
  <c r="Q30" i="93"/>
  <c r="R29" i="93"/>
  <c r="Q29" i="93"/>
  <c r="R28" i="93"/>
  <c r="Q28" i="93"/>
  <c r="R27" i="93"/>
  <c r="Q27" i="93"/>
  <c r="R26" i="93"/>
  <c r="Q26" i="93"/>
  <c r="R25" i="93"/>
  <c r="Q25" i="93"/>
  <c r="R24" i="93"/>
  <c r="Q24" i="93"/>
  <c r="R23" i="93"/>
  <c r="Q23" i="93"/>
  <c r="R22" i="93"/>
  <c r="Q22" i="93"/>
  <c r="S21" i="93"/>
  <c r="R21" i="93"/>
  <c r="Q21" i="93"/>
  <c r="S20" i="93"/>
  <c r="R20" i="93"/>
  <c r="Q20" i="93"/>
  <c r="R19" i="93"/>
  <c r="Q19" i="93"/>
  <c r="R18" i="93"/>
  <c r="Q18" i="93"/>
  <c r="R17" i="93"/>
  <c r="Q17" i="93"/>
  <c r="R16" i="93"/>
  <c r="Q16" i="93"/>
  <c r="R15" i="93"/>
  <c r="Q15" i="93"/>
  <c r="R14" i="93"/>
  <c r="Q14" i="93"/>
  <c r="R13" i="93"/>
  <c r="Q13" i="93"/>
  <c r="R12" i="93"/>
  <c r="Q12" i="93"/>
  <c r="Q3" i="93"/>
  <c r="R3" i="93"/>
  <c r="Q4" i="93"/>
  <c r="R4" i="93"/>
  <c r="Q5" i="93"/>
  <c r="R5" i="93"/>
  <c r="Q6" i="93"/>
  <c r="R6" i="93"/>
  <c r="Q7" i="93"/>
  <c r="R7" i="93"/>
  <c r="Q8" i="93"/>
  <c r="R8" i="93"/>
  <c r="Q9" i="93"/>
  <c r="R9" i="93"/>
  <c r="Q10" i="93"/>
  <c r="R10" i="93"/>
  <c r="Q11" i="93"/>
  <c r="R11" i="93"/>
  <c r="S11" i="93"/>
  <c r="S10" i="93"/>
  <c r="R2" i="93"/>
  <c r="Q2" i="93"/>
  <c r="AZ2" i="92"/>
  <c r="AY2" i="92"/>
  <c r="AX2" i="92"/>
  <c r="AW2" i="92"/>
  <c r="AV2" i="92"/>
  <c r="AU2" i="92"/>
  <c r="AT2" i="92"/>
  <c r="AS2" i="92"/>
  <c r="AR2" i="92"/>
  <c r="AQ2" i="92"/>
  <c r="AP2" i="92"/>
  <c r="AO2" i="92"/>
  <c r="AN2" i="92"/>
  <c r="AM2" i="92"/>
  <c r="AL2" i="92"/>
  <c r="AK2" i="92"/>
  <c r="AJ2" i="92"/>
  <c r="AI2" i="92"/>
  <c r="AH2" i="92"/>
  <c r="AG2" i="92"/>
  <c r="AF2" i="92"/>
  <c r="AE2" i="92"/>
  <c r="AD2" i="92"/>
  <c r="AC2" i="92"/>
  <c r="AB2" i="92"/>
  <c r="AA2" i="92"/>
  <c r="Z2" i="92"/>
  <c r="Y2" i="92"/>
  <c r="X2" i="92"/>
  <c r="W2" i="92"/>
  <c r="V2" i="92"/>
  <c r="U2" i="92"/>
  <c r="T2" i="92"/>
  <c r="R2" i="92"/>
  <c r="Q2" i="92"/>
  <c r="U23" i="91"/>
  <c r="V29" i="91"/>
  <c r="U29" i="91"/>
  <c r="V28" i="91"/>
  <c r="U28" i="91"/>
  <c r="V27" i="91"/>
  <c r="U27" i="91"/>
  <c r="V26" i="91"/>
  <c r="U26" i="91"/>
  <c r="V25" i="91"/>
  <c r="U25" i="91"/>
  <c r="V24" i="91"/>
  <c r="U24" i="91"/>
  <c r="U16" i="91"/>
  <c r="V22" i="91"/>
  <c r="U22" i="91"/>
  <c r="V21" i="91"/>
  <c r="U21" i="91"/>
  <c r="V20" i="91"/>
  <c r="U20" i="91"/>
  <c r="V19" i="91"/>
  <c r="U19" i="91"/>
  <c r="V18" i="91"/>
  <c r="U18" i="91"/>
  <c r="V17" i="91"/>
  <c r="U17" i="91"/>
  <c r="U9" i="91"/>
  <c r="V15" i="91"/>
  <c r="U15" i="91"/>
  <c r="V14" i="91"/>
  <c r="U14" i="91"/>
  <c r="V13" i="91"/>
  <c r="U13" i="91"/>
  <c r="V12" i="91"/>
  <c r="U12" i="91"/>
  <c r="V11" i="91"/>
  <c r="U11" i="91"/>
  <c r="V10" i="91"/>
  <c r="U10" i="91"/>
  <c r="U2" i="91"/>
  <c r="V8" i="91"/>
  <c r="U8" i="91"/>
  <c r="V7" i="91"/>
  <c r="U7" i="91"/>
  <c r="V6" i="91"/>
  <c r="U6" i="91"/>
  <c r="V5" i="91"/>
  <c r="U5" i="91"/>
  <c r="V4" i="91"/>
  <c r="U4" i="91"/>
  <c r="V3" i="91"/>
  <c r="U3" i="91"/>
  <c r="Z6" i="91"/>
  <c r="Y6" i="91"/>
  <c r="Z5" i="91"/>
  <c r="Y5" i="91"/>
  <c r="Z4" i="91"/>
  <c r="Y4" i="91"/>
  <c r="Z3" i="91"/>
  <c r="Y3" i="91"/>
  <c r="AC2" i="91"/>
  <c r="AB2" i="91"/>
  <c r="Z2" i="91"/>
  <c r="Y2" i="91"/>
  <c r="R29" i="91"/>
  <c r="Q29" i="91"/>
  <c r="S28" i="91"/>
  <c r="R28" i="91"/>
  <c r="Q28" i="91"/>
  <c r="S27" i="91"/>
  <c r="R27" i="91"/>
  <c r="Q27" i="91"/>
  <c r="R26" i="91"/>
  <c r="Q26" i="91"/>
  <c r="R25" i="91"/>
  <c r="Q25" i="91"/>
  <c r="R24" i="91"/>
  <c r="Q24" i="91"/>
  <c r="R23" i="91"/>
  <c r="Q23" i="91"/>
  <c r="R22" i="91"/>
  <c r="Q22" i="91"/>
  <c r="S21" i="91"/>
  <c r="R21" i="91"/>
  <c r="Q21" i="91"/>
  <c r="S20" i="91"/>
  <c r="R20" i="91"/>
  <c r="Q20" i="91"/>
  <c r="R19" i="91"/>
  <c r="Q19" i="91"/>
  <c r="R18" i="91"/>
  <c r="Q18" i="91"/>
  <c r="R17" i="91"/>
  <c r="Q17" i="91"/>
  <c r="R16" i="91"/>
  <c r="Q16" i="91"/>
  <c r="R15" i="91"/>
  <c r="Q15" i="91"/>
  <c r="S14" i="91"/>
  <c r="R14" i="91"/>
  <c r="Q14" i="91"/>
  <c r="S13" i="91"/>
  <c r="R13" i="91"/>
  <c r="Q13" i="91"/>
  <c r="R12" i="91"/>
  <c r="Q12" i="91"/>
  <c r="R11" i="91"/>
  <c r="Q11" i="91"/>
  <c r="R10" i="91"/>
  <c r="Q10" i="91"/>
  <c r="R9" i="91"/>
  <c r="Q9" i="91"/>
  <c r="S7" i="91"/>
  <c r="S6" i="91"/>
  <c r="R8" i="91"/>
  <c r="Q8" i="91"/>
  <c r="R7" i="91"/>
  <c r="Q7" i="91"/>
  <c r="R6" i="91"/>
  <c r="Q6" i="91"/>
  <c r="R5" i="91"/>
  <c r="Q5" i="91"/>
  <c r="R4" i="91"/>
  <c r="Q4" i="91"/>
  <c r="R3" i="91"/>
  <c r="Q3" i="91"/>
  <c r="R2" i="91"/>
  <c r="Q2" i="91"/>
  <c r="AZ2" i="90"/>
  <c r="AY2" i="90"/>
  <c r="AX2" i="90"/>
  <c r="AW2" i="90"/>
  <c r="AV2" i="90"/>
  <c r="AU2" i="90"/>
  <c r="AT2" i="90"/>
  <c r="AS2" i="90"/>
  <c r="AR2" i="90"/>
  <c r="AQ2" i="90"/>
  <c r="AP2" i="90"/>
  <c r="AO2" i="90"/>
  <c r="AN2" i="90"/>
  <c r="AM2" i="90"/>
  <c r="AL2" i="90"/>
  <c r="AK2" i="90"/>
  <c r="AJ2" i="90"/>
  <c r="AI2" i="90"/>
  <c r="AH2" i="90"/>
  <c r="AG2" i="90"/>
  <c r="AF2" i="90"/>
  <c r="AE2" i="90"/>
  <c r="AD2" i="90"/>
  <c r="AC2" i="90"/>
  <c r="AB2" i="90"/>
  <c r="AA2" i="90"/>
  <c r="Z2" i="90"/>
  <c r="Y2" i="90"/>
  <c r="X2" i="90"/>
  <c r="W2" i="90"/>
  <c r="V2" i="90"/>
  <c r="U2" i="90"/>
  <c r="T2" i="90"/>
  <c r="S2" i="90"/>
  <c r="R2" i="90"/>
  <c r="Q2" i="90"/>
  <c r="Q6" i="89"/>
  <c r="R6" i="89"/>
  <c r="S6" i="89"/>
  <c r="Q7" i="89"/>
  <c r="R7" i="89"/>
  <c r="S7" i="89"/>
  <c r="Q8" i="89"/>
  <c r="R8" i="89"/>
  <c r="S8" i="89"/>
  <c r="Q9" i="89"/>
  <c r="R9" i="89"/>
  <c r="S9" i="89"/>
  <c r="Q10" i="89"/>
  <c r="R10" i="89"/>
  <c r="S10" i="89"/>
  <c r="Q11" i="89"/>
  <c r="R11" i="89"/>
  <c r="S11" i="89"/>
  <c r="Q12" i="89"/>
  <c r="R12" i="89"/>
  <c r="S12" i="89"/>
  <c r="Q13" i="89"/>
  <c r="R13" i="89"/>
  <c r="S13" i="89"/>
  <c r="Q14" i="89"/>
  <c r="R14" i="89"/>
  <c r="S14" i="89"/>
  <c r="Q15" i="89"/>
  <c r="R15" i="89"/>
  <c r="S15" i="89"/>
  <c r="Q16" i="89"/>
  <c r="R16" i="89"/>
  <c r="S16" i="89"/>
  <c r="Q17" i="89"/>
  <c r="R17" i="89"/>
  <c r="S17" i="89"/>
  <c r="Q18" i="89"/>
  <c r="R18" i="89"/>
  <c r="S18" i="89"/>
  <c r="Q19" i="89"/>
  <c r="R19" i="89"/>
  <c r="S19" i="89"/>
  <c r="Q20" i="89"/>
  <c r="R20" i="89"/>
  <c r="S20" i="89"/>
  <c r="Q21" i="89"/>
  <c r="R21" i="89"/>
  <c r="S21" i="89"/>
  <c r="Q22" i="89"/>
  <c r="R22" i="89"/>
  <c r="S22" i="89"/>
  <c r="Q23" i="89"/>
  <c r="R23" i="89"/>
  <c r="S23" i="89"/>
  <c r="Q24" i="89"/>
  <c r="R24" i="89"/>
  <c r="S24" i="89"/>
  <c r="Q25" i="89"/>
  <c r="R25" i="89"/>
  <c r="S25" i="89"/>
  <c r="W50" i="89"/>
  <c r="X57" i="89"/>
  <c r="W57" i="89"/>
  <c r="X56" i="89"/>
  <c r="W56" i="89"/>
  <c r="X55" i="89"/>
  <c r="W55" i="89"/>
  <c r="X54" i="89"/>
  <c r="W54" i="89"/>
  <c r="X53" i="89"/>
  <c r="W53" i="89"/>
  <c r="X52" i="89"/>
  <c r="W52" i="89"/>
  <c r="X51" i="89"/>
  <c r="W51" i="89"/>
  <c r="W42" i="89"/>
  <c r="X49" i="89"/>
  <c r="W49" i="89"/>
  <c r="X48" i="89"/>
  <c r="W48" i="89"/>
  <c r="X47" i="89"/>
  <c r="W47" i="89"/>
  <c r="X46" i="89"/>
  <c r="W46" i="89"/>
  <c r="X45" i="89"/>
  <c r="W45" i="89"/>
  <c r="X44" i="89"/>
  <c r="W44" i="89"/>
  <c r="X43" i="89"/>
  <c r="W43" i="89"/>
  <c r="W34" i="89"/>
  <c r="X41" i="89"/>
  <c r="W41" i="89"/>
  <c r="X40" i="89"/>
  <c r="W40" i="89"/>
  <c r="X39" i="89"/>
  <c r="W39" i="89"/>
  <c r="X38" i="89"/>
  <c r="W38" i="89"/>
  <c r="X37" i="89"/>
  <c r="W37" i="89"/>
  <c r="X36" i="89"/>
  <c r="W36" i="89"/>
  <c r="X35" i="89"/>
  <c r="W35" i="89"/>
  <c r="W26" i="89"/>
  <c r="X33" i="89"/>
  <c r="W33" i="89"/>
  <c r="X32" i="89"/>
  <c r="W32" i="89"/>
  <c r="X31" i="89"/>
  <c r="W31" i="89"/>
  <c r="X30" i="89"/>
  <c r="W30" i="89"/>
  <c r="X29" i="89"/>
  <c r="W29" i="89"/>
  <c r="X28" i="89"/>
  <c r="W28" i="89"/>
  <c r="X27" i="89"/>
  <c r="W27" i="89"/>
  <c r="W20" i="89"/>
  <c r="X25" i="89"/>
  <c r="W25" i="89"/>
  <c r="X24" i="89"/>
  <c r="W24" i="89"/>
  <c r="X23" i="89"/>
  <c r="W23" i="89"/>
  <c r="X22" i="89"/>
  <c r="W22" i="89"/>
  <c r="X21" i="89"/>
  <c r="W21" i="89"/>
  <c r="W14" i="89"/>
  <c r="X19" i="89"/>
  <c r="W19" i="89"/>
  <c r="X18" i="89"/>
  <c r="W18" i="89"/>
  <c r="X17" i="89"/>
  <c r="W17" i="89"/>
  <c r="X16" i="89"/>
  <c r="W16" i="89"/>
  <c r="X15" i="89"/>
  <c r="W15" i="89"/>
  <c r="W8" i="89"/>
  <c r="X13" i="89"/>
  <c r="W13" i="89"/>
  <c r="X12" i="89"/>
  <c r="W12" i="89"/>
  <c r="X11" i="89"/>
  <c r="W11" i="89"/>
  <c r="X10" i="89"/>
  <c r="W10" i="89"/>
  <c r="X9" i="89"/>
  <c r="W9" i="89"/>
  <c r="X7" i="89"/>
  <c r="X6" i="89"/>
  <c r="X5" i="89"/>
  <c r="X4" i="89"/>
  <c r="X3" i="89"/>
  <c r="W2" i="89"/>
  <c r="W7" i="89"/>
  <c r="W6" i="89"/>
  <c r="W5" i="89"/>
  <c r="W4" i="89"/>
  <c r="W3" i="89"/>
  <c r="R57" i="89"/>
  <c r="Q57" i="89"/>
  <c r="R56" i="89"/>
  <c r="Q56" i="89"/>
  <c r="R55" i="89"/>
  <c r="Q55" i="89"/>
  <c r="R54" i="89"/>
  <c r="Q54" i="89"/>
  <c r="R53" i="89"/>
  <c r="Q53" i="89"/>
  <c r="R52" i="89"/>
  <c r="Q52" i="89"/>
  <c r="R51" i="89"/>
  <c r="Q51" i="89"/>
  <c r="R50" i="89"/>
  <c r="Q50" i="89"/>
  <c r="R49" i="89"/>
  <c r="Q49" i="89"/>
  <c r="R48" i="89"/>
  <c r="Q48" i="89"/>
  <c r="R47" i="89"/>
  <c r="Q47" i="89"/>
  <c r="R46" i="89"/>
  <c r="Q46" i="89"/>
  <c r="R45" i="89"/>
  <c r="Q45" i="89"/>
  <c r="R44" i="89"/>
  <c r="Q44" i="89"/>
  <c r="R43" i="89"/>
  <c r="Q43" i="89"/>
  <c r="R42" i="89"/>
  <c r="Q42" i="89"/>
  <c r="R41" i="89"/>
  <c r="Q41" i="89"/>
  <c r="R40" i="89"/>
  <c r="Q40" i="89"/>
  <c r="R39" i="89"/>
  <c r="Q39" i="89"/>
  <c r="R38" i="89"/>
  <c r="Q38" i="89"/>
  <c r="R37" i="89"/>
  <c r="Q37" i="89"/>
  <c r="R36" i="89"/>
  <c r="Q36" i="89"/>
  <c r="R35" i="89"/>
  <c r="Q35" i="89"/>
  <c r="R34" i="89"/>
  <c r="Q34" i="89"/>
  <c r="R33" i="89"/>
  <c r="Q33" i="89"/>
  <c r="R32" i="89"/>
  <c r="Q32" i="89"/>
  <c r="R31" i="89"/>
  <c r="Q31" i="89"/>
  <c r="R30" i="89"/>
  <c r="Q30" i="89"/>
  <c r="R29" i="89"/>
  <c r="Q29" i="89"/>
  <c r="R28" i="89"/>
  <c r="Q28" i="89"/>
  <c r="R27" i="89"/>
  <c r="Q27" i="89"/>
  <c r="R26" i="89"/>
  <c r="Q26" i="89"/>
  <c r="R5" i="89"/>
  <c r="Q5" i="89"/>
  <c r="R4" i="89"/>
  <c r="Q4" i="89"/>
  <c r="R3" i="89"/>
  <c r="Q3" i="89"/>
  <c r="R2" i="89"/>
  <c r="Q2" i="89"/>
  <c r="S57" i="89"/>
  <c r="S56" i="89"/>
  <c r="S55" i="89"/>
  <c r="S54" i="89"/>
  <c r="S53" i="89"/>
  <c r="S52" i="89"/>
  <c r="S51" i="89"/>
  <c r="S50" i="89"/>
  <c r="S49" i="89"/>
  <c r="S48" i="89"/>
  <c r="S47" i="89"/>
  <c r="S46" i="89"/>
  <c r="S45" i="89"/>
  <c r="S44" i="89"/>
  <c r="S43" i="89"/>
  <c r="S42" i="89"/>
  <c r="S41" i="89"/>
  <c r="S40" i="89"/>
  <c r="S39" i="89"/>
  <c r="S38" i="89"/>
  <c r="S37" i="89"/>
  <c r="S36" i="89"/>
  <c r="S35" i="89"/>
  <c r="S34" i="89"/>
  <c r="S33" i="89"/>
  <c r="S32" i="89"/>
  <c r="S31" i="89"/>
  <c r="S30" i="89"/>
  <c r="S29" i="89"/>
  <c r="S28" i="89"/>
  <c r="S27" i="89"/>
  <c r="S26" i="89"/>
  <c r="S5" i="89"/>
  <c r="S4" i="89"/>
  <c r="S3" i="89"/>
  <c r="S2" i="89"/>
  <c r="U57" i="89"/>
  <c r="U49" i="89"/>
  <c r="U41" i="89"/>
  <c r="U33" i="89"/>
  <c r="R26" i="88"/>
  <c r="AC2" i="88"/>
  <c r="AC3" i="88"/>
  <c r="AC4" i="88"/>
  <c r="AC5" i="88"/>
  <c r="AC6" i="88"/>
  <c r="AC7" i="88"/>
  <c r="AC8" i="88"/>
  <c r="AC9" i="88"/>
  <c r="AC16" i="88"/>
  <c r="AC17" i="88"/>
  <c r="AC18" i="88"/>
  <c r="AC19" i="88"/>
  <c r="R25" i="88"/>
  <c r="U19" i="88"/>
  <c r="U18" i="88"/>
  <c r="U17" i="88"/>
  <c r="U16" i="88"/>
  <c r="T19" i="88"/>
  <c r="T18" i="88"/>
  <c r="T17" i="88"/>
  <c r="T16" i="88"/>
  <c r="T14" i="88"/>
  <c r="U14" i="88"/>
  <c r="T13" i="88"/>
  <c r="U13" i="88"/>
  <c r="T12" i="88"/>
  <c r="U12" i="88"/>
  <c r="T11" i="88"/>
  <c r="U11" i="88"/>
  <c r="S14" i="88"/>
  <c r="S13" i="88"/>
  <c r="S12" i="88"/>
  <c r="S11" i="88"/>
  <c r="R77" i="87"/>
  <c r="Q77" i="87"/>
  <c r="R76" i="87"/>
  <c r="Q76" i="87"/>
  <c r="R75" i="87"/>
  <c r="Q75" i="87"/>
  <c r="R74" i="87"/>
  <c r="Q74" i="87"/>
  <c r="R73" i="87"/>
  <c r="Q73" i="87"/>
  <c r="R72" i="87"/>
  <c r="Q72" i="87"/>
  <c r="R71" i="87"/>
  <c r="Q71" i="87"/>
  <c r="R70" i="87"/>
  <c r="Q70" i="87"/>
  <c r="R69" i="87"/>
  <c r="Q69" i="87"/>
  <c r="R68" i="87"/>
  <c r="Q68" i="87"/>
  <c r="R67" i="87"/>
  <c r="Q67" i="87"/>
  <c r="R66" i="87"/>
  <c r="Q66" i="87"/>
  <c r="R65" i="87"/>
  <c r="Q65" i="87"/>
  <c r="R64" i="87"/>
  <c r="Q64" i="87"/>
  <c r="R63" i="87"/>
  <c r="Q63" i="87"/>
  <c r="R62" i="87"/>
  <c r="Q62" i="87"/>
  <c r="R61" i="87"/>
  <c r="Q61" i="87"/>
  <c r="R60" i="87"/>
  <c r="Q60" i="87"/>
  <c r="R59" i="87"/>
  <c r="Q59" i="87"/>
  <c r="R58" i="87"/>
  <c r="Q58" i="87"/>
  <c r="R57" i="87"/>
  <c r="Q57" i="87"/>
  <c r="R56" i="87"/>
  <c r="Q56" i="87"/>
  <c r="R55" i="87"/>
  <c r="Q55" i="87"/>
  <c r="R54" i="87"/>
  <c r="Q54" i="87"/>
  <c r="R53" i="87"/>
  <c r="Q53" i="87"/>
  <c r="R52" i="87"/>
  <c r="Q52" i="87"/>
  <c r="R51" i="87"/>
  <c r="Q51" i="87"/>
  <c r="R50" i="87"/>
  <c r="Q50" i="87"/>
  <c r="R49" i="87"/>
  <c r="Q49" i="87"/>
  <c r="R48" i="87"/>
  <c r="Q48" i="87"/>
  <c r="R47" i="87"/>
  <c r="Q47" i="87"/>
  <c r="R46" i="87"/>
  <c r="Q46" i="87"/>
  <c r="R45" i="87"/>
  <c r="Q45" i="87"/>
  <c r="R44" i="87"/>
  <c r="Q44" i="87"/>
  <c r="R43" i="87"/>
  <c r="Q43" i="87"/>
  <c r="R42" i="87"/>
  <c r="Q42" i="87"/>
  <c r="R41" i="87"/>
  <c r="Q41" i="87"/>
  <c r="R40" i="87"/>
  <c r="Q40" i="87"/>
  <c r="R39" i="87"/>
  <c r="Q39" i="87"/>
  <c r="R38" i="87"/>
  <c r="Q38" i="87"/>
  <c r="R37" i="87"/>
  <c r="Q37" i="87"/>
  <c r="R36" i="87"/>
  <c r="Q36" i="87"/>
  <c r="R35" i="87"/>
  <c r="Q35" i="87"/>
  <c r="R34" i="87"/>
  <c r="Q34" i="87"/>
  <c r="R33" i="87"/>
  <c r="Q33" i="87"/>
  <c r="R32" i="87"/>
  <c r="Q32" i="87"/>
  <c r="R31" i="87"/>
  <c r="Q31" i="87"/>
  <c r="R30" i="87"/>
  <c r="Q30" i="87"/>
  <c r="R29" i="87"/>
  <c r="Q29" i="87"/>
  <c r="R28" i="87"/>
  <c r="Q28" i="87"/>
  <c r="R27" i="87"/>
  <c r="Q27" i="87"/>
  <c r="R26" i="87"/>
  <c r="Q26" i="87"/>
  <c r="R25" i="87"/>
  <c r="Q25" i="87"/>
  <c r="R24" i="87"/>
  <c r="Q24" i="87"/>
  <c r="R23" i="87"/>
  <c r="Q23" i="87"/>
  <c r="R22" i="87"/>
  <c r="Q22" i="87"/>
  <c r="R21" i="87"/>
  <c r="Q21" i="87"/>
  <c r="R20" i="87"/>
  <c r="Q20" i="87"/>
  <c r="R19" i="87"/>
  <c r="Q19" i="87"/>
  <c r="R18" i="87"/>
  <c r="Q18" i="87"/>
  <c r="R17" i="87"/>
  <c r="Q17" i="87"/>
  <c r="R16" i="87"/>
  <c r="Q16" i="87"/>
  <c r="R15" i="87"/>
  <c r="Q15" i="87"/>
  <c r="R14" i="87"/>
  <c r="Q14" i="87"/>
  <c r="R13" i="87"/>
  <c r="Q13" i="87"/>
  <c r="R12" i="87"/>
  <c r="Q12" i="87"/>
  <c r="R11" i="87"/>
  <c r="Q11" i="87"/>
  <c r="R10" i="87"/>
  <c r="Q10" i="87"/>
  <c r="R9" i="87"/>
  <c r="Q9" i="87"/>
  <c r="R8" i="87"/>
  <c r="Q8" i="87"/>
  <c r="R7" i="87"/>
  <c r="Q7" i="87"/>
  <c r="R6" i="87"/>
  <c r="Q6" i="87"/>
  <c r="R5" i="87"/>
  <c r="Q5" i="87"/>
  <c r="R4" i="87"/>
  <c r="Q4" i="87"/>
  <c r="R3" i="87"/>
  <c r="Q3" i="87"/>
  <c r="R2" i="87"/>
  <c r="Q2" i="87"/>
  <c r="U19" i="87"/>
  <c r="U38" i="87"/>
  <c r="U57" i="87"/>
  <c r="U76" i="87"/>
  <c r="U77" i="87"/>
  <c r="U73" i="87"/>
  <c r="U70" i="87"/>
  <c r="U69" i="87"/>
  <c r="U68" i="87"/>
  <c r="U67" i="87"/>
  <c r="U65" i="87"/>
  <c r="U62" i="87"/>
  <c r="U61" i="87"/>
  <c r="U58" i="87"/>
  <c r="U54" i="87"/>
  <c r="U51" i="87"/>
  <c r="U50" i="87"/>
  <c r="U49" i="87"/>
  <c r="U48" i="87"/>
  <c r="U46" i="87"/>
  <c r="U43" i="87"/>
  <c r="U42" i="87"/>
  <c r="U39" i="87"/>
  <c r="U35" i="87"/>
  <c r="U32" i="87"/>
  <c r="U31" i="87"/>
  <c r="U30" i="87"/>
  <c r="U29" i="87"/>
  <c r="U27" i="87"/>
  <c r="U24" i="87"/>
  <c r="U23" i="87"/>
  <c r="U20" i="87"/>
  <c r="U16" i="87"/>
  <c r="U13" i="87"/>
  <c r="U12" i="87"/>
  <c r="U11" i="87"/>
  <c r="U10" i="87"/>
  <c r="U8" i="87"/>
  <c r="U5" i="87"/>
  <c r="U4" i="87"/>
  <c r="V53" i="86"/>
  <c r="V52" i="86"/>
  <c r="V51" i="86"/>
  <c r="V50" i="86"/>
  <c r="V49" i="86"/>
  <c r="V48" i="86"/>
  <c r="V47" i="86"/>
  <c r="V46" i="86"/>
  <c r="V45" i="86"/>
  <c r="V44" i="86"/>
  <c r="V43" i="86"/>
  <c r="V42" i="86"/>
  <c r="V41" i="86"/>
  <c r="V40" i="86"/>
  <c r="V39" i="86"/>
  <c r="V38" i="86"/>
  <c r="V37" i="86"/>
  <c r="V36"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V10" i="86"/>
  <c r="V9" i="86"/>
  <c r="V8" i="86"/>
  <c r="V7" i="86"/>
  <c r="V6" i="86"/>
  <c r="V5" i="86"/>
  <c r="V4" i="86"/>
  <c r="V3" i="86"/>
  <c r="V2" i="86"/>
  <c r="Q23" i="86"/>
  <c r="R23" i="86"/>
  <c r="Q24" i="86"/>
  <c r="R24" i="86"/>
  <c r="Q25" i="86"/>
  <c r="R25" i="86"/>
  <c r="Q26" i="86"/>
  <c r="R26" i="86"/>
  <c r="Q27" i="86"/>
  <c r="R27" i="86"/>
  <c r="Q28" i="86"/>
  <c r="R28" i="86"/>
  <c r="Q29" i="86"/>
  <c r="R29" i="86"/>
  <c r="Q30" i="86"/>
  <c r="R30" i="86"/>
  <c r="Q31" i="86"/>
  <c r="R31" i="86"/>
  <c r="Q32" i="86"/>
  <c r="R32" i="86"/>
  <c r="Q33" i="86"/>
  <c r="R33" i="86"/>
  <c r="Q34" i="86"/>
  <c r="R34" i="86"/>
  <c r="Q35" i="86"/>
  <c r="R35" i="86"/>
  <c r="Q36" i="86"/>
  <c r="R36" i="86"/>
  <c r="Q37" i="86"/>
  <c r="R37" i="86"/>
  <c r="Q38" i="86"/>
  <c r="R38" i="86"/>
  <c r="Q39" i="86"/>
  <c r="R39" i="86"/>
  <c r="Q40" i="86"/>
  <c r="R40" i="86"/>
  <c r="Q41" i="86"/>
  <c r="R41" i="86"/>
  <c r="Q42" i="86"/>
  <c r="R42" i="86"/>
  <c r="Q43" i="86"/>
  <c r="R43" i="86"/>
  <c r="Q44" i="86"/>
  <c r="R44" i="86"/>
  <c r="Q45" i="86"/>
  <c r="R45" i="86"/>
  <c r="Q46" i="86"/>
  <c r="R46" i="86"/>
  <c r="Q47" i="86"/>
  <c r="R47" i="86"/>
  <c r="Q48" i="86"/>
  <c r="R48" i="86"/>
  <c r="Q49" i="86"/>
  <c r="R49" i="86"/>
  <c r="Q50" i="86"/>
  <c r="R50" i="86"/>
  <c r="Q51" i="86"/>
  <c r="R51" i="86"/>
  <c r="Q52" i="86"/>
  <c r="R52" i="86"/>
  <c r="Q53" i="86"/>
  <c r="R53" i="86"/>
  <c r="R22" i="86"/>
  <c r="Q22" i="86"/>
  <c r="Q3" i="86"/>
  <c r="R3" i="86"/>
  <c r="Q4" i="86"/>
  <c r="R4" i="86"/>
  <c r="Q5" i="86"/>
  <c r="R5" i="86"/>
  <c r="Q6" i="86"/>
  <c r="R6" i="86"/>
  <c r="Q7" i="86"/>
  <c r="R7" i="86"/>
  <c r="Q8" i="86"/>
  <c r="R8" i="86"/>
  <c r="Q9" i="86"/>
  <c r="R9" i="86"/>
  <c r="Q10" i="86"/>
  <c r="R10" i="86"/>
  <c r="Q11" i="86"/>
  <c r="R11" i="86"/>
  <c r="Q12" i="86"/>
  <c r="R12" i="86"/>
  <c r="Q13" i="86"/>
  <c r="R13" i="86"/>
  <c r="Q14" i="86"/>
  <c r="R14" i="86"/>
  <c r="Q15" i="86"/>
  <c r="R15" i="86"/>
  <c r="Q16" i="86"/>
  <c r="R16" i="86"/>
  <c r="Q17" i="86"/>
  <c r="R17" i="86"/>
  <c r="Q18" i="86"/>
  <c r="R18" i="86"/>
  <c r="Q19" i="86"/>
  <c r="R19" i="86"/>
  <c r="Q20" i="86"/>
  <c r="R20" i="86"/>
  <c r="Q21" i="86"/>
  <c r="R21" i="86"/>
  <c r="R2" i="86"/>
  <c r="Q2" i="86"/>
  <c r="V89" i="85"/>
  <c r="V91" i="85"/>
  <c r="V98" i="85"/>
  <c r="V100" i="85"/>
  <c r="V109" i="85"/>
  <c r="V107" i="85"/>
  <c r="W109" i="85"/>
  <c r="V90" i="85"/>
  <c r="V99" i="85"/>
  <c r="V108" i="85"/>
  <c r="W108" i="85"/>
  <c r="V86" i="85"/>
  <c r="V88" i="85"/>
  <c r="V95" i="85"/>
  <c r="V97" i="85"/>
  <c r="V106" i="85"/>
  <c r="V104" i="85"/>
  <c r="W106" i="85"/>
  <c r="V87" i="85"/>
  <c r="V96" i="85"/>
  <c r="V105" i="85"/>
  <c r="W105" i="85"/>
  <c r="V83" i="85"/>
  <c r="V85" i="85"/>
  <c r="V92" i="85"/>
  <c r="V94" i="85"/>
  <c r="V103" i="85"/>
  <c r="V101" i="85"/>
  <c r="W103" i="85"/>
  <c r="V84" i="85"/>
  <c r="V93" i="85"/>
  <c r="V102" i="85"/>
  <c r="W102" i="85"/>
  <c r="V62" i="85"/>
  <c r="V64" i="85"/>
  <c r="V71" i="85"/>
  <c r="V73" i="85"/>
  <c r="V82" i="85"/>
  <c r="V80" i="85"/>
  <c r="W82" i="85"/>
  <c r="V63" i="85"/>
  <c r="V72" i="85"/>
  <c r="V81" i="85"/>
  <c r="W81" i="85"/>
  <c r="V59" i="85"/>
  <c r="V61" i="85"/>
  <c r="V68" i="85"/>
  <c r="V70" i="85"/>
  <c r="V79" i="85"/>
  <c r="V77" i="85"/>
  <c r="W79" i="85"/>
  <c r="V60" i="85"/>
  <c r="V69" i="85"/>
  <c r="V78" i="85"/>
  <c r="W78" i="85"/>
  <c r="V56" i="85"/>
  <c r="V58" i="85"/>
  <c r="V65" i="85"/>
  <c r="V67" i="85"/>
  <c r="V76" i="85"/>
  <c r="V74" i="85"/>
  <c r="W76" i="85"/>
  <c r="V57" i="85"/>
  <c r="V66" i="85"/>
  <c r="V75" i="85"/>
  <c r="W75" i="85"/>
  <c r="V35" i="85"/>
  <c r="V37" i="85"/>
  <c r="V44" i="85"/>
  <c r="V46" i="85"/>
  <c r="V55" i="85"/>
  <c r="V53" i="85"/>
  <c r="W55" i="85"/>
  <c r="V36" i="85"/>
  <c r="V45" i="85"/>
  <c r="V54" i="85"/>
  <c r="W54" i="85"/>
  <c r="V32" i="85"/>
  <c r="V34" i="85"/>
  <c r="V41" i="85"/>
  <c r="V43" i="85"/>
  <c r="V52" i="85"/>
  <c r="V50" i="85"/>
  <c r="W52" i="85"/>
  <c r="V33" i="85"/>
  <c r="V42" i="85"/>
  <c r="V51" i="85"/>
  <c r="W51" i="85"/>
  <c r="V29" i="85"/>
  <c r="V31" i="85"/>
  <c r="V38" i="85"/>
  <c r="V40" i="85"/>
  <c r="V49" i="85"/>
  <c r="V47" i="85"/>
  <c r="W49" i="85"/>
  <c r="V30" i="85"/>
  <c r="V39" i="85"/>
  <c r="V48" i="85"/>
  <c r="W48" i="85"/>
  <c r="V8" i="85"/>
  <c r="V10" i="85"/>
  <c r="V17" i="85"/>
  <c r="V19" i="85"/>
  <c r="V28" i="85"/>
  <c r="V26" i="85"/>
  <c r="W28" i="85"/>
  <c r="V9" i="85"/>
  <c r="V18" i="85"/>
  <c r="V27" i="85"/>
  <c r="W27" i="85"/>
  <c r="V5" i="85"/>
  <c r="V7" i="85"/>
  <c r="V14" i="85"/>
  <c r="V16" i="85"/>
  <c r="V25" i="85"/>
  <c r="V23" i="85"/>
  <c r="W25" i="85"/>
  <c r="V6" i="85"/>
  <c r="V15" i="85"/>
  <c r="V24" i="85"/>
  <c r="W24" i="85"/>
  <c r="V2" i="85"/>
  <c r="V4" i="85"/>
  <c r="V11" i="85"/>
  <c r="V13" i="85"/>
  <c r="V22" i="85"/>
  <c r="V20" i="85"/>
  <c r="W22" i="85"/>
  <c r="V3" i="85"/>
  <c r="V12" i="85"/>
  <c r="V21" i="85"/>
  <c r="W21" i="85"/>
  <c r="W9" i="85"/>
  <c r="W10" i="85"/>
  <c r="W18" i="85"/>
  <c r="W19" i="85"/>
  <c r="W6" i="85"/>
  <c r="W7" i="85"/>
  <c r="W15" i="85"/>
  <c r="W16" i="85"/>
  <c r="W3" i="85"/>
  <c r="W4" i="85"/>
  <c r="W12" i="85"/>
  <c r="W13" i="85"/>
  <c r="W99" i="85"/>
  <c r="W100" i="85"/>
  <c r="W96" i="85"/>
  <c r="W97" i="85"/>
  <c r="W93" i="85"/>
  <c r="W94" i="85"/>
  <c r="W90" i="85"/>
  <c r="W91" i="85"/>
  <c r="W87" i="85"/>
  <c r="W88" i="85"/>
  <c r="W84" i="85"/>
  <c r="W85" i="85"/>
  <c r="W72" i="85"/>
  <c r="W73" i="85"/>
  <c r="W69" i="85"/>
  <c r="W70" i="85"/>
  <c r="W66" i="85"/>
  <c r="W67" i="85"/>
  <c r="W63" i="85"/>
  <c r="W64" i="85"/>
  <c r="W60" i="85"/>
  <c r="W61" i="85"/>
  <c r="W57" i="85"/>
  <c r="W58" i="85"/>
  <c r="W45" i="85"/>
  <c r="W46" i="85"/>
  <c r="W42" i="85"/>
  <c r="W43" i="85"/>
  <c r="W39" i="85"/>
  <c r="W40" i="85"/>
  <c r="W36" i="85"/>
  <c r="W37" i="85"/>
  <c r="W33" i="85"/>
  <c r="W34" i="85"/>
  <c r="W30" i="85"/>
  <c r="W31" i="85"/>
  <c r="R109" i="85"/>
  <c r="Q109" i="85"/>
  <c r="R108" i="85"/>
  <c r="Q108" i="85"/>
  <c r="R107" i="85"/>
  <c r="Q107" i="85"/>
  <c r="R106" i="85"/>
  <c r="Q106" i="85"/>
  <c r="R105" i="85"/>
  <c r="Q105" i="85"/>
  <c r="R104" i="85"/>
  <c r="Q104" i="85"/>
  <c r="R103" i="85"/>
  <c r="Q103" i="85"/>
  <c r="R102" i="85"/>
  <c r="Q102" i="85"/>
  <c r="R101" i="85"/>
  <c r="Q101" i="85"/>
  <c r="R100" i="85"/>
  <c r="Q100" i="85"/>
  <c r="R99" i="85"/>
  <c r="Q99" i="85"/>
  <c r="R98" i="85"/>
  <c r="Q98" i="85"/>
  <c r="R97" i="85"/>
  <c r="Q97" i="85"/>
  <c r="R96" i="85"/>
  <c r="Q96" i="85"/>
  <c r="R95" i="85"/>
  <c r="Q95" i="85"/>
  <c r="R94" i="85"/>
  <c r="Q94" i="85"/>
  <c r="R93" i="85"/>
  <c r="Q93" i="85"/>
  <c r="R92" i="85"/>
  <c r="Q92" i="85"/>
  <c r="R91" i="85"/>
  <c r="Q91" i="85"/>
  <c r="R90" i="85"/>
  <c r="Q90" i="85"/>
  <c r="R89" i="85"/>
  <c r="Q89" i="85"/>
  <c r="R88" i="85"/>
  <c r="Q88" i="85"/>
  <c r="R87" i="85"/>
  <c r="Q87" i="85"/>
  <c r="R86" i="85"/>
  <c r="Q86" i="85"/>
  <c r="R85" i="85"/>
  <c r="Q85" i="85"/>
  <c r="R84" i="85"/>
  <c r="Q84" i="85"/>
  <c r="R83" i="85"/>
  <c r="Q83" i="85"/>
  <c r="R82" i="85"/>
  <c r="Q82" i="85"/>
  <c r="R81" i="85"/>
  <c r="Q81" i="85"/>
  <c r="R80" i="85"/>
  <c r="Q80" i="85"/>
  <c r="R79" i="85"/>
  <c r="Q79" i="85"/>
  <c r="R78" i="85"/>
  <c r="Q78" i="85"/>
  <c r="R77" i="85"/>
  <c r="Q77" i="85"/>
  <c r="R76" i="85"/>
  <c r="Q76" i="85"/>
  <c r="R75" i="85"/>
  <c r="Q75" i="85"/>
  <c r="R74" i="85"/>
  <c r="Q74" i="85"/>
  <c r="R73" i="85"/>
  <c r="Q73" i="85"/>
  <c r="R72" i="85"/>
  <c r="Q72" i="85"/>
  <c r="R71" i="85"/>
  <c r="Q71" i="85"/>
  <c r="R70" i="85"/>
  <c r="Q70" i="85"/>
  <c r="R69" i="85"/>
  <c r="Q69" i="85"/>
  <c r="R68" i="85"/>
  <c r="Q68" i="85"/>
  <c r="R67" i="85"/>
  <c r="Q67" i="85"/>
  <c r="R66" i="85"/>
  <c r="Q66" i="85"/>
  <c r="R65" i="85"/>
  <c r="Q65" i="85"/>
  <c r="R64" i="85"/>
  <c r="Q64" i="85"/>
  <c r="R63" i="85"/>
  <c r="Q63" i="85"/>
  <c r="R62" i="85"/>
  <c r="Q62" i="85"/>
  <c r="R61" i="85"/>
  <c r="Q61" i="85"/>
  <c r="R60" i="85"/>
  <c r="Q60" i="85"/>
  <c r="R59" i="85"/>
  <c r="Q59" i="85"/>
  <c r="R58" i="85"/>
  <c r="Q58" i="85"/>
  <c r="R57" i="85"/>
  <c r="Q57" i="85"/>
  <c r="R56" i="85"/>
  <c r="Q56" i="85"/>
  <c r="R55" i="85"/>
  <c r="Q55" i="85"/>
  <c r="R54" i="85"/>
  <c r="Q54" i="85"/>
  <c r="R53" i="85"/>
  <c r="Q53" i="85"/>
  <c r="R52" i="85"/>
  <c r="Q52" i="85"/>
  <c r="R51" i="85"/>
  <c r="Q51" i="85"/>
  <c r="R50" i="85"/>
  <c r="Q50" i="85"/>
  <c r="R49" i="85"/>
  <c r="Q49" i="85"/>
  <c r="R48" i="85"/>
  <c r="Q48" i="85"/>
  <c r="R47" i="85"/>
  <c r="Q47" i="85"/>
  <c r="R46" i="85"/>
  <c r="Q46" i="85"/>
  <c r="R45" i="85"/>
  <c r="Q45" i="85"/>
  <c r="R44" i="85"/>
  <c r="Q44" i="85"/>
  <c r="R43" i="85"/>
  <c r="Q43" i="85"/>
  <c r="R42" i="85"/>
  <c r="Q42" i="85"/>
  <c r="R41" i="85"/>
  <c r="Q41" i="85"/>
  <c r="R40" i="85"/>
  <c r="Q40" i="85"/>
  <c r="R39" i="85"/>
  <c r="Q39" i="85"/>
  <c r="R38" i="85"/>
  <c r="Q38" i="85"/>
  <c r="R37" i="85"/>
  <c r="Q37" i="85"/>
  <c r="R36" i="85"/>
  <c r="Q36" i="85"/>
  <c r="R35" i="85"/>
  <c r="Q35" i="85"/>
  <c r="R34" i="85"/>
  <c r="Q34" i="85"/>
  <c r="R33" i="85"/>
  <c r="Q33" i="85"/>
  <c r="R32" i="85"/>
  <c r="Q32" i="85"/>
  <c r="R31" i="85"/>
  <c r="Q31" i="85"/>
  <c r="R30" i="85"/>
  <c r="Q30" i="85"/>
  <c r="R29" i="85"/>
  <c r="Q29" i="85"/>
  <c r="R28" i="85"/>
  <c r="Q28" i="85"/>
  <c r="R27" i="85"/>
  <c r="Q27" i="85"/>
  <c r="R26" i="85"/>
  <c r="Q26" i="85"/>
  <c r="R25" i="85"/>
  <c r="Q25" i="85"/>
  <c r="R24" i="85"/>
  <c r="Q24" i="85"/>
  <c r="R23" i="85"/>
  <c r="Q23" i="85"/>
  <c r="R22" i="85"/>
  <c r="Q22" i="85"/>
  <c r="R21" i="85"/>
  <c r="Q21" i="85"/>
  <c r="R20" i="85"/>
  <c r="Q20" i="85"/>
  <c r="R19" i="85"/>
  <c r="Q19" i="85"/>
  <c r="R18" i="85"/>
  <c r="Q18" i="85"/>
  <c r="R17" i="85"/>
  <c r="Q17" i="85"/>
  <c r="R16" i="85"/>
  <c r="Q16" i="85"/>
  <c r="R15" i="85"/>
  <c r="Q15" i="85"/>
  <c r="R14" i="85"/>
  <c r="Q14" i="85"/>
  <c r="R13" i="85"/>
  <c r="Q13" i="85"/>
  <c r="R12" i="85"/>
  <c r="Q12" i="85"/>
  <c r="R11" i="85"/>
  <c r="Q11" i="85"/>
  <c r="R10" i="85"/>
  <c r="Q10" i="85"/>
  <c r="R9" i="85"/>
  <c r="Q9" i="85"/>
  <c r="R8" i="85"/>
  <c r="Q8" i="85"/>
  <c r="R7" i="85"/>
  <c r="Q7" i="85"/>
  <c r="R6" i="85"/>
  <c r="Q6" i="85"/>
  <c r="R5" i="85"/>
  <c r="Q5" i="85"/>
  <c r="R4" i="85"/>
  <c r="Q4" i="85"/>
  <c r="R3" i="85"/>
  <c r="Q3" i="85"/>
  <c r="R2" i="85"/>
  <c r="Q2" i="85"/>
  <c r="S3" i="84"/>
  <c r="S4" i="84"/>
  <c r="S5" i="84"/>
  <c r="S6" i="84"/>
  <c r="S7" i="84"/>
  <c r="S8" i="84"/>
  <c r="S9" i="84"/>
  <c r="S10" i="84"/>
  <c r="S11" i="84"/>
  <c r="S12" i="84"/>
  <c r="S13" i="84"/>
  <c r="S14" i="84"/>
  <c r="S15" i="84"/>
  <c r="S16" i="84"/>
  <c r="S17" i="84"/>
  <c r="S18" i="84"/>
  <c r="S19" i="84"/>
  <c r="S20" i="84"/>
  <c r="S21" i="84"/>
  <c r="S22" i="84"/>
  <c r="S23" i="84"/>
  <c r="S24" i="84"/>
  <c r="S25" i="84"/>
  <c r="S26" i="84"/>
  <c r="S27" i="84"/>
  <c r="S2" i="84"/>
  <c r="R3" i="84"/>
  <c r="R4" i="84"/>
  <c r="R5" i="84"/>
  <c r="R6" i="84"/>
  <c r="R7" i="84"/>
  <c r="R8" i="84"/>
  <c r="R9" i="84"/>
  <c r="R10" i="84"/>
  <c r="R11" i="84"/>
  <c r="R12" i="84"/>
  <c r="R13" i="84"/>
  <c r="R14" i="84"/>
  <c r="R15" i="84"/>
  <c r="R16" i="84"/>
  <c r="R17" i="84"/>
  <c r="R18" i="84"/>
  <c r="R19" i="84"/>
  <c r="R20" i="84"/>
  <c r="R21" i="84"/>
  <c r="R22" i="84"/>
  <c r="R23" i="84"/>
  <c r="R24" i="84"/>
  <c r="R25" i="84"/>
  <c r="R26" i="84"/>
  <c r="R27" i="84"/>
  <c r="R2" i="84"/>
  <c r="T3" i="84"/>
  <c r="U3" i="84"/>
  <c r="T4" i="84"/>
  <c r="U4" i="84"/>
  <c r="T5" i="84"/>
  <c r="U5" i="84"/>
  <c r="T6" i="84"/>
  <c r="U6" i="84"/>
  <c r="T7" i="84"/>
  <c r="U7" i="84"/>
  <c r="T8" i="84"/>
  <c r="U8" i="84"/>
  <c r="T9" i="84"/>
  <c r="U9" i="84"/>
  <c r="T10" i="84"/>
  <c r="U10" i="84"/>
  <c r="T11" i="84"/>
  <c r="U11" i="84"/>
  <c r="T12" i="84"/>
  <c r="U12" i="84"/>
  <c r="T13" i="84"/>
  <c r="U13" i="84"/>
  <c r="T14" i="84"/>
  <c r="U14" i="84"/>
  <c r="T15" i="84"/>
  <c r="U15" i="84"/>
  <c r="T16" i="84"/>
  <c r="U16" i="84"/>
  <c r="T17" i="84"/>
  <c r="U17" i="84"/>
  <c r="T18" i="84"/>
  <c r="U18" i="84"/>
  <c r="T19" i="84"/>
  <c r="U19" i="84"/>
  <c r="T20" i="84"/>
  <c r="U20" i="84"/>
  <c r="T21" i="84"/>
  <c r="U21" i="84"/>
  <c r="T22" i="84"/>
  <c r="U22" i="84"/>
  <c r="T23" i="84"/>
  <c r="U23" i="84"/>
  <c r="T24" i="84"/>
  <c r="U24" i="84"/>
  <c r="T25" i="84"/>
  <c r="U25" i="84"/>
  <c r="T26" i="84"/>
  <c r="U26" i="84"/>
  <c r="T27" i="84"/>
  <c r="U27" i="84"/>
  <c r="U2" i="84"/>
  <c r="T2" i="84"/>
  <c r="Q26" i="84"/>
  <c r="Q27" i="84"/>
  <c r="Q25" i="84"/>
  <c r="Y2" i="82"/>
  <c r="X37" i="82"/>
  <c r="W37" i="82"/>
  <c r="V37" i="82"/>
  <c r="X36" i="82"/>
  <c r="W36" i="82"/>
  <c r="V36" i="82"/>
  <c r="U36" i="82"/>
  <c r="T36" i="82"/>
  <c r="S36" i="82"/>
  <c r="R36" i="82"/>
  <c r="Q37" i="82"/>
  <c r="Q36" i="82"/>
  <c r="W3" i="82"/>
  <c r="W4" i="82"/>
  <c r="W5" i="82"/>
  <c r="W6" i="82"/>
  <c r="W7" i="82"/>
  <c r="W8" i="82"/>
  <c r="W9" i="82"/>
  <c r="W10" i="82"/>
  <c r="W11" i="82"/>
  <c r="W12" i="82"/>
  <c r="W13" i="82"/>
  <c r="W14" i="82"/>
  <c r="W15" i="82"/>
  <c r="W16" i="82"/>
  <c r="W17" i="82"/>
  <c r="W18" i="82"/>
  <c r="W19" i="82"/>
  <c r="W20" i="82"/>
  <c r="W21" i="82"/>
  <c r="W22" i="82"/>
  <c r="W23" i="82"/>
  <c r="W24" i="82"/>
  <c r="W25" i="82"/>
  <c r="W26" i="82"/>
  <c r="W27" i="82"/>
  <c r="W28" i="82"/>
  <c r="W29" i="82"/>
  <c r="W30" i="82"/>
  <c r="W31" i="82"/>
  <c r="W32" i="82"/>
  <c r="W33" i="82"/>
  <c r="W34" i="82"/>
  <c r="W35" i="82"/>
  <c r="W2" i="82"/>
  <c r="X35" i="82"/>
  <c r="V35" i="82"/>
  <c r="V3" i="82"/>
  <c r="X3" i="82"/>
  <c r="R4" i="82"/>
  <c r="S4" i="82"/>
  <c r="T4" i="82"/>
  <c r="U4" i="82"/>
  <c r="V4" i="82"/>
  <c r="X4" i="82"/>
  <c r="V5" i="82"/>
  <c r="X5" i="82"/>
  <c r="R6" i="82"/>
  <c r="S6" i="82"/>
  <c r="T6" i="82"/>
  <c r="U6" i="82"/>
  <c r="V6" i="82"/>
  <c r="X6" i="82"/>
  <c r="V7" i="82"/>
  <c r="X7" i="82"/>
  <c r="R8" i="82"/>
  <c r="S8" i="82"/>
  <c r="T8" i="82"/>
  <c r="U8" i="82"/>
  <c r="V8" i="82"/>
  <c r="X8" i="82"/>
  <c r="V9" i="82"/>
  <c r="X9" i="82"/>
  <c r="R10" i="82"/>
  <c r="S10" i="82"/>
  <c r="T10" i="82"/>
  <c r="U10" i="82"/>
  <c r="V10" i="82"/>
  <c r="X10" i="82"/>
  <c r="V11" i="82"/>
  <c r="X11" i="82"/>
  <c r="R12" i="82"/>
  <c r="S12" i="82"/>
  <c r="T12" i="82"/>
  <c r="U12" i="82"/>
  <c r="V12" i="82"/>
  <c r="X12" i="82"/>
  <c r="V13" i="82"/>
  <c r="X13" i="82"/>
  <c r="R14" i="82"/>
  <c r="S14" i="82"/>
  <c r="T14" i="82"/>
  <c r="U14" i="82"/>
  <c r="V14" i="82"/>
  <c r="X14" i="82"/>
  <c r="V15" i="82"/>
  <c r="X15" i="82"/>
  <c r="R16" i="82"/>
  <c r="S16" i="82"/>
  <c r="T16" i="82"/>
  <c r="U16" i="82"/>
  <c r="V16" i="82"/>
  <c r="X16" i="82"/>
  <c r="V17" i="82"/>
  <c r="X17" i="82"/>
  <c r="R18" i="82"/>
  <c r="S18" i="82"/>
  <c r="T18" i="82"/>
  <c r="U18" i="82"/>
  <c r="V18" i="82"/>
  <c r="X18" i="82"/>
  <c r="V19" i="82"/>
  <c r="X19" i="82"/>
  <c r="R20" i="82"/>
  <c r="S20" i="82"/>
  <c r="T20" i="82"/>
  <c r="U20" i="82"/>
  <c r="V20" i="82"/>
  <c r="X20" i="82"/>
  <c r="V21" i="82"/>
  <c r="X21" i="82"/>
  <c r="R22" i="82"/>
  <c r="S22" i="82"/>
  <c r="T22" i="82"/>
  <c r="U22" i="82"/>
  <c r="V22" i="82"/>
  <c r="X22" i="82"/>
  <c r="V23" i="82"/>
  <c r="X23" i="82"/>
  <c r="R24" i="82"/>
  <c r="S24" i="82"/>
  <c r="T24" i="82"/>
  <c r="U24" i="82"/>
  <c r="V24" i="82"/>
  <c r="X24" i="82"/>
  <c r="V25" i="82"/>
  <c r="X25" i="82"/>
  <c r="R26" i="82"/>
  <c r="S26" i="82"/>
  <c r="T26" i="82"/>
  <c r="U26" i="82"/>
  <c r="V26" i="82"/>
  <c r="X26" i="82"/>
  <c r="V27" i="82"/>
  <c r="X27" i="82"/>
  <c r="R28" i="82"/>
  <c r="S28" i="82"/>
  <c r="T28" i="82"/>
  <c r="U28" i="82"/>
  <c r="V28" i="82"/>
  <c r="X28" i="82"/>
  <c r="V29" i="82"/>
  <c r="X29" i="82"/>
  <c r="R30" i="82"/>
  <c r="S30" i="82"/>
  <c r="T30" i="82"/>
  <c r="U30" i="82"/>
  <c r="V30" i="82"/>
  <c r="X30" i="82"/>
  <c r="V31" i="82"/>
  <c r="X31" i="82"/>
  <c r="R32" i="82"/>
  <c r="S32" i="82"/>
  <c r="T32" i="82"/>
  <c r="U32" i="82"/>
  <c r="V32" i="82"/>
  <c r="X32" i="82"/>
  <c r="V33" i="82"/>
  <c r="X33" i="82"/>
  <c r="R34" i="82"/>
  <c r="S34" i="82"/>
  <c r="T34" i="82"/>
  <c r="U34" i="82"/>
  <c r="V34" i="82"/>
  <c r="X34" i="82"/>
  <c r="S2" i="82"/>
  <c r="T2" i="82"/>
  <c r="U2" i="82"/>
  <c r="V2" i="82"/>
  <c r="X2" i="82"/>
  <c r="R2" i="82"/>
  <c r="EW2" i="79"/>
  <c r="EV2" i="79"/>
  <c r="EU2" i="79"/>
  <c r="ET2" i="79"/>
  <c r="ES2" i="79"/>
  <c r="ER2" i="79"/>
  <c r="EQ2" i="79"/>
  <c r="EP2" i="79"/>
  <c r="EO2" i="79"/>
  <c r="EN2" i="79"/>
  <c r="EM2" i="79"/>
  <c r="EL2" i="79"/>
  <c r="EK2" i="79"/>
  <c r="EJ2" i="79"/>
  <c r="EI2" i="79"/>
  <c r="EH2" i="79"/>
  <c r="EG2" i="79"/>
  <c r="EF2" i="79"/>
  <c r="EE2" i="79"/>
  <c r="ED2" i="79"/>
  <c r="EC2" i="79"/>
  <c r="EB2" i="79"/>
  <c r="EA2" i="79"/>
  <c r="DZ2" i="79"/>
  <c r="DY2" i="79"/>
  <c r="DX2" i="79"/>
  <c r="DW2" i="79"/>
  <c r="DV2" i="79"/>
  <c r="DU2" i="79"/>
  <c r="DT2" i="79"/>
  <c r="DS2" i="79"/>
  <c r="DR2" i="79"/>
  <c r="DQ2" i="79"/>
  <c r="DP2" i="79"/>
  <c r="DO2" i="79"/>
  <c r="DN2" i="79"/>
  <c r="DM2" i="79"/>
  <c r="DL2" i="79"/>
  <c r="DK2" i="79"/>
  <c r="DJ2" i="79"/>
  <c r="DI2" i="79"/>
  <c r="DH2" i="79"/>
  <c r="DG2" i="79"/>
  <c r="DF2" i="79"/>
  <c r="DE2" i="79"/>
  <c r="DD2" i="79"/>
  <c r="DC2" i="79"/>
  <c r="DB2" i="79"/>
  <c r="DA2" i="79"/>
  <c r="CZ2" i="79"/>
  <c r="CY2" i="79"/>
  <c r="CX2" i="79"/>
  <c r="CW2" i="79"/>
  <c r="CV2" i="79"/>
  <c r="CU2" i="79"/>
  <c r="CT2" i="79"/>
  <c r="CS2" i="79"/>
  <c r="CR2" i="79"/>
  <c r="CQ2" i="79"/>
  <c r="CP2" i="79"/>
  <c r="CO2" i="79"/>
  <c r="CN2" i="79"/>
  <c r="CM2" i="79"/>
  <c r="CL2" i="79"/>
  <c r="CK2" i="79"/>
  <c r="CJ2" i="79"/>
  <c r="CI2" i="79"/>
  <c r="CH2" i="79"/>
  <c r="CG2" i="79"/>
  <c r="CF2" i="79"/>
  <c r="CE2" i="79"/>
  <c r="CD2" i="79"/>
  <c r="CC2" i="79"/>
  <c r="CB2" i="79"/>
  <c r="CA2" i="79"/>
  <c r="BZ2" i="79"/>
  <c r="BY2" i="79"/>
  <c r="BX2" i="79"/>
  <c r="BW2" i="79"/>
  <c r="BV2" i="79"/>
  <c r="BU2" i="79"/>
  <c r="BT2" i="79"/>
  <c r="BS2" i="79"/>
  <c r="BR2" i="79"/>
  <c r="BQ2" i="79"/>
  <c r="BP2" i="79"/>
  <c r="BO2" i="79"/>
  <c r="BN2" i="79"/>
  <c r="BM2" i="79"/>
  <c r="BL2" i="79"/>
  <c r="BK2" i="79"/>
  <c r="BJ2" i="79"/>
  <c r="BI2" i="79"/>
  <c r="BH2" i="79"/>
  <c r="BG2" i="79"/>
  <c r="BF2" i="79"/>
  <c r="BE2" i="79"/>
  <c r="BD2" i="79"/>
  <c r="BC2" i="79"/>
  <c r="BB2" i="79"/>
  <c r="BA2" i="79"/>
  <c r="AZ2" i="79"/>
  <c r="AY2" i="79"/>
  <c r="AX2" i="79"/>
  <c r="AW2" i="79"/>
  <c r="AV2" i="79"/>
  <c r="AU2" i="79"/>
  <c r="AT2" i="79"/>
  <c r="AS2" i="79"/>
  <c r="AR2" i="79"/>
  <c r="AQ2" i="79"/>
  <c r="AP2" i="79"/>
  <c r="AO2" i="79"/>
  <c r="AN2" i="79"/>
  <c r="AM2" i="79"/>
  <c r="AL2" i="79"/>
  <c r="AK2" i="79"/>
  <c r="AJ2" i="79"/>
  <c r="AI2" i="79"/>
  <c r="AH2" i="79"/>
  <c r="AG2" i="79"/>
  <c r="AF2" i="79"/>
  <c r="AE2" i="79"/>
  <c r="AD2" i="79"/>
  <c r="AC2" i="79"/>
  <c r="AB2" i="79"/>
  <c r="AA2" i="79"/>
  <c r="Z2" i="79"/>
  <c r="Y2" i="79"/>
  <c r="X2" i="79"/>
  <c r="W2" i="79"/>
  <c r="V2" i="79"/>
  <c r="U2" i="79"/>
  <c r="T2" i="79"/>
  <c r="S2" i="79"/>
  <c r="R2" i="79"/>
  <c r="Q2" i="79"/>
  <c r="R3" i="81"/>
  <c r="S3" i="81"/>
  <c r="R4" i="81"/>
  <c r="S4" i="81"/>
  <c r="R5" i="81"/>
  <c r="S5" i="81"/>
  <c r="R6" i="81"/>
  <c r="S6" i="81"/>
  <c r="R7" i="81"/>
  <c r="S7" i="81"/>
  <c r="R8" i="81"/>
  <c r="S8" i="81"/>
  <c r="R9" i="81"/>
  <c r="S9" i="81"/>
  <c r="R10" i="81"/>
  <c r="S10" i="81"/>
  <c r="R11" i="81"/>
  <c r="S11" i="81"/>
  <c r="R12" i="81"/>
  <c r="S12" i="81"/>
  <c r="R13" i="81"/>
  <c r="S13" i="81"/>
  <c r="R14" i="81"/>
  <c r="S14" i="81"/>
  <c r="R15" i="81"/>
  <c r="S15" i="81"/>
  <c r="R16" i="81"/>
  <c r="S16" i="81"/>
  <c r="R17" i="81"/>
  <c r="S17" i="81"/>
  <c r="S2" i="81"/>
  <c r="R2" i="81"/>
  <c r="Q17" i="81"/>
  <c r="Q16" i="81"/>
  <c r="S19" i="80"/>
  <c r="R19" i="80"/>
  <c r="S18" i="80"/>
  <c r="R18" i="80"/>
  <c r="S17" i="80"/>
  <c r="R17" i="80"/>
  <c r="S16" i="80"/>
  <c r="R16" i="80"/>
  <c r="S15" i="80"/>
  <c r="R15" i="80"/>
  <c r="S14" i="80"/>
  <c r="R14" i="80"/>
  <c r="S13" i="80"/>
  <c r="R13" i="80"/>
  <c r="S12" i="80"/>
  <c r="R12" i="80"/>
  <c r="S11" i="80"/>
  <c r="R11" i="80"/>
  <c r="R10" i="80"/>
  <c r="S10" i="80"/>
  <c r="S9" i="80"/>
  <c r="R9" i="80"/>
  <c r="S8" i="80"/>
  <c r="R8" i="80"/>
  <c r="S7" i="80"/>
  <c r="R7" i="80"/>
  <c r="S6" i="80"/>
  <c r="R6" i="80"/>
  <c r="S5" i="80"/>
  <c r="R5" i="80"/>
  <c r="S4" i="80"/>
  <c r="R4" i="80"/>
  <c r="S3" i="80"/>
  <c r="R3" i="80"/>
  <c r="S2" i="80"/>
  <c r="R2" i="80"/>
  <c r="Q19" i="80"/>
  <c r="V15" i="78"/>
  <c r="U15" i="78"/>
  <c r="T15" i="78"/>
  <c r="S15" i="78"/>
  <c r="V14" i="78"/>
  <c r="U14" i="78"/>
  <c r="T14" i="78"/>
  <c r="S14" i="78"/>
  <c r="V13" i="78"/>
  <c r="U13" i="78"/>
  <c r="T13" i="78"/>
  <c r="S13" i="78"/>
  <c r="V12" i="78"/>
  <c r="U12" i="78"/>
  <c r="T12" i="78"/>
  <c r="S12" i="78"/>
  <c r="V11" i="78"/>
  <c r="U11" i="78"/>
  <c r="T11" i="78"/>
  <c r="S11" i="78"/>
  <c r="V10" i="78"/>
  <c r="U10" i="78"/>
  <c r="T10" i="78"/>
  <c r="S10" i="78"/>
  <c r="V9" i="78"/>
  <c r="U9" i="78"/>
  <c r="T9" i="78"/>
  <c r="S9" i="78"/>
  <c r="V8" i="78"/>
  <c r="U8" i="78"/>
  <c r="T8" i="78"/>
  <c r="S8" i="78"/>
  <c r="V7" i="78"/>
  <c r="U7" i="78"/>
  <c r="T7" i="78"/>
  <c r="S7" i="78"/>
  <c r="V6" i="78"/>
  <c r="U6" i="78"/>
  <c r="T6" i="78"/>
  <c r="S6" i="78"/>
  <c r="V5" i="78"/>
  <c r="U5" i="78"/>
  <c r="T5" i="78"/>
  <c r="S5" i="78"/>
  <c r="V4" i="78"/>
  <c r="U4" i="78"/>
  <c r="T4" i="78"/>
  <c r="S4" i="78"/>
  <c r="V3" i="78"/>
  <c r="U3" i="78"/>
  <c r="T3" i="78"/>
  <c r="S3" i="78"/>
  <c r="V2" i="78"/>
  <c r="U2" i="78"/>
  <c r="T2" i="78"/>
  <c r="S2" i="78"/>
  <c r="T3" i="77"/>
  <c r="U3" i="77"/>
  <c r="T4" i="77"/>
  <c r="U4" i="77"/>
  <c r="T5" i="77"/>
  <c r="U5" i="77"/>
  <c r="T6" i="77"/>
  <c r="U6" i="77"/>
  <c r="T7" i="77"/>
  <c r="U7" i="77"/>
  <c r="T8" i="77"/>
  <c r="U8" i="77"/>
  <c r="T9" i="77"/>
  <c r="U9" i="77"/>
  <c r="T10" i="77"/>
  <c r="U10" i="77"/>
  <c r="T11" i="77"/>
  <c r="U11" i="77"/>
  <c r="T12" i="77"/>
  <c r="U12" i="77"/>
  <c r="T13" i="77"/>
  <c r="U13" i="77"/>
  <c r="U2" i="77"/>
  <c r="T2" i="77"/>
  <c r="R3" i="76"/>
  <c r="S3" i="76"/>
  <c r="T3" i="76"/>
  <c r="U3" i="76"/>
  <c r="V3" i="76"/>
  <c r="R4" i="76"/>
  <c r="S4" i="76"/>
  <c r="T4" i="76"/>
  <c r="U4" i="76"/>
  <c r="V4" i="76"/>
  <c r="R5" i="76"/>
  <c r="S5" i="76"/>
  <c r="T5" i="76"/>
  <c r="U5" i="76"/>
  <c r="V5" i="76"/>
  <c r="R6" i="76"/>
  <c r="S6" i="76"/>
  <c r="T6" i="76"/>
  <c r="U6" i="76"/>
  <c r="V6" i="76"/>
  <c r="R7" i="76"/>
  <c r="S7" i="76"/>
  <c r="T7" i="76"/>
  <c r="U7" i="76"/>
  <c r="V7" i="76"/>
  <c r="R8" i="76"/>
  <c r="S8" i="76"/>
  <c r="T8" i="76"/>
  <c r="U8" i="76"/>
  <c r="V8" i="76"/>
  <c r="R9" i="76"/>
  <c r="S9" i="76"/>
  <c r="T9" i="76"/>
  <c r="U9" i="76"/>
  <c r="V9" i="76"/>
  <c r="R10" i="76"/>
  <c r="S10" i="76"/>
  <c r="T10" i="76"/>
  <c r="U10" i="76"/>
  <c r="V10" i="76"/>
  <c r="R11" i="76"/>
  <c r="S11" i="76"/>
  <c r="T11" i="76"/>
  <c r="U11" i="76"/>
  <c r="V11" i="76"/>
  <c r="R12" i="76"/>
  <c r="S12" i="76"/>
  <c r="T12" i="76"/>
  <c r="U12" i="76"/>
  <c r="V12" i="76"/>
  <c r="R13" i="76"/>
  <c r="S13" i="76"/>
  <c r="T13" i="76"/>
  <c r="U13" i="76"/>
  <c r="V13" i="76"/>
  <c r="R14" i="76"/>
  <c r="S14" i="76"/>
  <c r="T14" i="76"/>
  <c r="U14" i="76"/>
  <c r="V14" i="76"/>
  <c r="R15" i="76"/>
  <c r="S15" i="76"/>
  <c r="T15" i="76"/>
  <c r="U15" i="76"/>
  <c r="V15" i="76"/>
  <c r="R16" i="76"/>
  <c r="S16" i="76"/>
  <c r="T16" i="76"/>
  <c r="U16" i="76"/>
  <c r="V16" i="76"/>
  <c r="R17" i="76"/>
  <c r="S17" i="76"/>
  <c r="T17" i="76"/>
  <c r="U17" i="76"/>
  <c r="V17" i="76"/>
  <c r="R18" i="76"/>
  <c r="S18" i="76"/>
  <c r="T18" i="76"/>
  <c r="U18" i="76"/>
  <c r="V18" i="76"/>
  <c r="R19" i="76"/>
  <c r="S19" i="76"/>
  <c r="T19" i="76"/>
  <c r="U19" i="76"/>
  <c r="V19" i="76"/>
  <c r="R20" i="76"/>
  <c r="S20" i="76"/>
  <c r="T20" i="76"/>
  <c r="U20" i="76"/>
  <c r="V20" i="76"/>
  <c r="R21" i="76"/>
  <c r="S21" i="76"/>
  <c r="T21" i="76"/>
  <c r="U21" i="76"/>
  <c r="V21" i="76"/>
  <c r="S2" i="76"/>
  <c r="T2" i="76"/>
  <c r="U2" i="76"/>
  <c r="V2" i="76"/>
  <c r="R2" i="76"/>
  <c r="CC2" i="75"/>
  <c r="CB2" i="75"/>
  <c r="CA2" i="75"/>
  <c r="BZ2" i="75"/>
  <c r="BY2" i="75"/>
  <c r="BX2" i="75"/>
  <c r="BW2" i="75"/>
  <c r="BV2" i="75"/>
  <c r="BU2" i="75"/>
  <c r="BT2" i="75"/>
  <c r="BS2" i="75"/>
  <c r="BR2" i="75"/>
  <c r="BQ2" i="75"/>
  <c r="BP2" i="75"/>
  <c r="BO2" i="75"/>
  <c r="BN2" i="75"/>
  <c r="BM2" i="75"/>
  <c r="BL2" i="75"/>
  <c r="BK2" i="75"/>
  <c r="BJ2" i="75"/>
  <c r="BI2" i="75"/>
  <c r="BH2" i="75"/>
  <c r="BG2" i="75"/>
  <c r="BF2" i="75"/>
  <c r="BE2" i="75"/>
  <c r="BD2" i="75"/>
  <c r="BC2" i="75"/>
  <c r="BB2" i="75"/>
  <c r="BA2" i="75"/>
  <c r="AZ2" i="75"/>
  <c r="AY2" i="75"/>
  <c r="AX2" i="75"/>
  <c r="AW2" i="75"/>
  <c r="AV2" i="75"/>
  <c r="AU2" i="75"/>
  <c r="AT2" i="75"/>
  <c r="AS2" i="75"/>
  <c r="AR2" i="75"/>
  <c r="AQ2" i="75"/>
  <c r="AP2" i="75"/>
  <c r="AO2" i="75"/>
  <c r="AN2" i="75"/>
  <c r="AM2" i="75"/>
  <c r="AL2" i="75"/>
  <c r="AK2" i="75"/>
  <c r="AJ2" i="75"/>
  <c r="AI2" i="75"/>
  <c r="AH2" i="75"/>
  <c r="AG2" i="75"/>
  <c r="AF2" i="75"/>
  <c r="AE2" i="75"/>
  <c r="AD2" i="75"/>
  <c r="AC2" i="75"/>
  <c r="AB2" i="75"/>
  <c r="AA2" i="75"/>
  <c r="Z2" i="75"/>
  <c r="Y2" i="75"/>
  <c r="X2" i="75"/>
  <c r="W2" i="75"/>
  <c r="V2" i="75"/>
  <c r="U2" i="75"/>
  <c r="T2" i="75"/>
  <c r="S2" i="75"/>
  <c r="R2" i="75"/>
  <c r="Q2" i="75"/>
  <c r="X18" i="74"/>
  <c r="X19" i="74"/>
  <c r="X20" i="74"/>
  <c r="X21" i="74"/>
  <c r="X17" i="74"/>
  <c r="W18" i="74"/>
  <c r="W19" i="74"/>
  <c r="W20" i="74"/>
  <c r="W21" i="74"/>
  <c r="W17" i="74"/>
  <c r="W13" i="74"/>
  <c r="X13" i="74"/>
  <c r="W14" i="74"/>
  <c r="X14" i="74"/>
  <c r="W15" i="74"/>
  <c r="X15" i="74"/>
  <c r="W16" i="74"/>
  <c r="X16" i="74"/>
  <c r="X12" i="74"/>
  <c r="W12" i="74"/>
  <c r="V21" i="74"/>
  <c r="V20" i="74"/>
  <c r="V19" i="74"/>
  <c r="V18" i="74"/>
  <c r="V17" i="74"/>
  <c r="V13" i="74"/>
  <c r="V14" i="74"/>
  <c r="V15" i="74"/>
  <c r="V16" i="74"/>
  <c r="V12" i="74"/>
  <c r="R18" i="74"/>
  <c r="R19" i="74"/>
  <c r="R20" i="74"/>
  <c r="R21" i="74"/>
  <c r="R17" i="74"/>
  <c r="R13" i="74"/>
  <c r="R14" i="74"/>
  <c r="R15" i="74"/>
  <c r="R16" i="74"/>
  <c r="R12" i="74"/>
  <c r="R8" i="74"/>
  <c r="S8" i="74"/>
  <c r="T8" i="74"/>
  <c r="U8" i="74"/>
  <c r="V8" i="74"/>
  <c r="R9" i="74"/>
  <c r="S9" i="74"/>
  <c r="T9" i="74"/>
  <c r="U9" i="74"/>
  <c r="V9" i="74"/>
  <c r="R10" i="74"/>
  <c r="S10" i="74"/>
  <c r="T10" i="74"/>
  <c r="U10" i="74"/>
  <c r="V10" i="74"/>
  <c r="R11" i="74"/>
  <c r="S11" i="74"/>
  <c r="T11" i="74"/>
  <c r="U11" i="74"/>
  <c r="V11" i="74"/>
  <c r="S7" i="74"/>
  <c r="T7" i="74"/>
  <c r="U7" i="74"/>
  <c r="V7" i="74"/>
  <c r="R7" i="74"/>
  <c r="R3" i="74"/>
  <c r="S3" i="74"/>
  <c r="T3" i="74"/>
  <c r="U3" i="74"/>
  <c r="V3" i="74"/>
  <c r="R4" i="74"/>
  <c r="S4" i="74"/>
  <c r="T4" i="74"/>
  <c r="U4" i="74"/>
  <c r="V4" i="74"/>
  <c r="R5" i="74"/>
  <c r="S5" i="74"/>
  <c r="T5" i="74"/>
  <c r="U5" i="74"/>
  <c r="V5" i="74"/>
  <c r="R6" i="74"/>
  <c r="S6" i="74"/>
  <c r="T6" i="74"/>
  <c r="U6" i="74"/>
  <c r="V6" i="74"/>
  <c r="S2" i="74"/>
  <c r="T2" i="74"/>
  <c r="U2" i="74"/>
  <c r="V2" i="74"/>
  <c r="R2" i="74"/>
  <c r="BW2" i="73"/>
  <c r="BV2" i="73"/>
  <c r="BU2" i="73"/>
  <c r="BT2" i="73"/>
  <c r="BS2" i="73"/>
  <c r="BR2" i="73"/>
  <c r="BQ2" i="73"/>
  <c r="BP2" i="73"/>
  <c r="BO2" i="73"/>
  <c r="BN2" i="73"/>
  <c r="BM2" i="73"/>
  <c r="BL2" i="73"/>
  <c r="BK2" i="73"/>
  <c r="BJ2" i="73"/>
  <c r="BI2" i="73"/>
  <c r="BH2" i="73"/>
  <c r="BG2" i="73"/>
  <c r="BF2" i="73"/>
  <c r="BE2" i="73"/>
  <c r="BD2" i="73"/>
  <c r="BC2" i="73"/>
  <c r="BB2" i="73"/>
  <c r="BA2" i="73"/>
  <c r="AZ2" i="73"/>
  <c r="AY2" i="73"/>
  <c r="AX2" i="73"/>
  <c r="AW2" i="73"/>
  <c r="AV2" i="73"/>
  <c r="AU2" i="73"/>
  <c r="AT2" i="73"/>
  <c r="AS2" i="73"/>
  <c r="AR2" i="73"/>
  <c r="AQ2" i="73"/>
  <c r="AP2" i="73"/>
  <c r="AO2" i="73"/>
  <c r="AN2" i="73"/>
  <c r="AM2" i="73"/>
  <c r="AL2" i="73"/>
  <c r="AK2" i="73"/>
  <c r="AJ2" i="73"/>
  <c r="AI2" i="73"/>
  <c r="AH2" i="73"/>
  <c r="AG2" i="73"/>
  <c r="AF2" i="73"/>
  <c r="AE2" i="73"/>
  <c r="AD2" i="73"/>
  <c r="AC2" i="73"/>
  <c r="AB2" i="73"/>
  <c r="AA2" i="73"/>
  <c r="Z2" i="73"/>
  <c r="Y2" i="73"/>
  <c r="X2" i="73"/>
  <c r="W2" i="73"/>
  <c r="V2" i="73"/>
  <c r="U2" i="73"/>
  <c r="T2" i="73"/>
  <c r="S2" i="73"/>
  <c r="R2" i="73"/>
  <c r="Q2" i="73"/>
  <c r="X8" i="72"/>
  <c r="X9" i="72"/>
  <c r="X10" i="72"/>
  <c r="X11" i="72"/>
  <c r="X12" i="72"/>
  <c r="X13" i="72"/>
  <c r="X14" i="72"/>
  <c r="X15" i="72"/>
  <c r="X16" i="72"/>
  <c r="X17" i="72"/>
  <c r="X18" i="72"/>
  <c r="X19" i="72"/>
  <c r="X20" i="72"/>
  <c r="X21" i="72"/>
  <c r="X7" i="72"/>
  <c r="W8" i="72"/>
  <c r="W9" i="72"/>
  <c r="W10" i="72"/>
  <c r="W11" i="72"/>
  <c r="W12" i="72"/>
  <c r="W13" i="72"/>
  <c r="W14" i="72"/>
  <c r="W15" i="72"/>
  <c r="W16" i="72"/>
  <c r="W17" i="72"/>
  <c r="W18" i="72"/>
  <c r="W19" i="72"/>
  <c r="W20" i="72"/>
  <c r="W21" i="72"/>
  <c r="W7" i="72"/>
  <c r="V8" i="72"/>
  <c r="V9" i="72"/>
  <c r="V10" i="72"/>
  <c r="V11" i="72"/>
  <c r="V12" i="72"/>
  <c r="V13" i="72"/>
  <c r="V14" i="72"/>
  <c r="V15" i="72"/>
  <c r="V16" i="72"/>
  <c r="V17" i="72"/>
  <c r="V18" i="72"/>
  <c r="V19" i="72"/>
  <c r="V20" i="72"/>
  <c r="V21" i="72"/>
  <c r="V7" i="72"/>
  <c r="U8" i="72"/>
  <c r="U9" i="72"/>
  <c r="U10" i="72"/>
  <c r="U11" i="72"/>
  <c r="U12" i="72"/>
  <c r="U13" i="72"/>
  <c r="U14" i="72"/>
  <c r="U15" i="72"/>
  <c r="U16" i="72"/>
  <c r="U17" i="72"/>
  <c r="U18" i="72"/>
  <c r="U19" i="72"/>
  <c r="U20" i="72"/>
  <c r="U21" i="72"/>
  <c r="U7" i="72"/>
  <c r="U3" i="72"/>
  <c r="V3" i="72"/>
  <c r="W3" i="72"/>
  <c r="X3" i="72"/>
  <c r="U4" i="72"/>
  <c r="V4" i="72"/>
  <c r="W4" i="72"/>
  <c r="X4" i="72"/>
  <c r="U5" i="72"/>
  <c r="V5" i="72"/>
  <c r="W5" i="72"/>
  <c r="X5" i="72"/>
  <c r="U6" i="72"/>
  <c r="V6" i="72"/>
  <c r="W6" i="72"/>
  <c r="X6" i="72"/>
  <c r="S21" i="72"/>
  <c r="S20" i="72"/>
  <c r="S19" i="72"/>
  <c r="S18" i="72"/>
  <c r="S17" i="72"/>
  <c r="S16" i="72"/>
  <c r="S15" i="72"/>
  <c r="S14" i="72"/>
  <c r="S13" i="72"/>
  <c r="S12" i="72"/>
  <c r="S11" i="72"/>
  <c r="S10" i="72"/>
  <c r="S9" i="72"/>
  <c r="S8" i="72"/>
  <c r="S7" i="72"/>
  <c r="S3" i="72"/>
  <c r="S4" i="72"/>
  <c r="S5" i="72"/>
  <c r="S6" i="72"/>
  <c r="X2" i="72"/>
  <c r="W2" i="72"/>
  <c r="V2" i="72"/>
  <c r="U2" i="72"/>
  <c r="T2" i="72"/>
  <c r="S2" i="72"/>
  <c r="Y2" i="72"/>
  <c r="R7" i="72"/>
  <c r="R2" i="72"/>
  <c r="S2" i="71"/>
  <c r="S3" i="71"/>
  <c r="S4" i="71"/>
  <c r="S5" i="71"/>
  <c r="S6" i="71"/>
  <c r="S7" i="71"/>
  <c r="S8" i="71"/>
  <c r="S9" i="71"/>
  <c r="S10" i="71"/>
  <c r="S11" i="71"/>
  <c r="R3" i="71"/>
  <c r="T3" i="71"/>
  <c r="U3" i="71"/>
  <c r="V3" i="71"/>
  <c r="W3" i="71"/>
  <c r="R4" i="71"/>
  <c r="T4" i="71"/>
  <c r="U4" i="71"/>
  <c r="V4" i="71"/>
  <c r="W4" i="71"/>
  <c r="R5" i="71"/>
  <c r="T5" i="71"/>
  <c r="U5" i="71"/>
  <c r="V5" i="71"/>
  <c r="W5" i="71"/>
  <c r="R6" i="71"/>
  <c r="T6" i="71"/>
  <c r="U6" i="71"/>
  <c r="V6" i="71"/>
  <c r="W6" i="71"/>
  <c r="R7" i="71"/>
  <c r="T7" i="71"/>
  <c r="U7" i="71"/>
  <c r="V7" i="71"/>
  <c r="W7" i="71"/>
  <c r="R8" i="71"/>
  <c r="T8" i="71"/>
  <c r="U8" i="71"/>
  <c r="V8" i="71"/>
  <c r="W8" i="71"/>
  <c r="R9" i="71"/>
  <c r="T9" i="71"/>
  <c r="U9" i="71"/>
  <c r="V9" i="71"/>
  <c r="W9" i="71"/>
  <c r="R10" i="71"/>
  <c r="T10" i="71"/>
  <c r="U10" i="71"/>
  <c r="V10" i="71"/>
  <c r="W10" i="71"/>
  <c r="R11" i="71"/>
  <c r="T11" i="71"/>
  <c r="U11" i="71"/>
  <c r="V11" i="71"/>
  <c r="W11" i="71"/>
  <c r="T2" i="71"/>
  <c r="U2" i="71"/>
  <c r="V2" i="71"/>
  <c r="W2" i="71"/>
  <c r="R2" i="71"/>
  <c r="CP2" i="70"/>
  <c r="CO2" i="70"/>
  <c r="CN2" i="70"/>
  <c r="CM2" i="70"/>
  <c r="CL2" i="70"/>
  <c r="CK2" i="70"/>
  <c r="CJ2" i="70"/>
  <c r="CI2" i="70"/>
  <c r="CH2" i="70"/>
  <c r="CG2" i="70"/>
  <c r="CF2" i="70"/>
  <c r="CE2" i="70"/>
  <c r="CD2" i="70"/>
  <c r="CC2" i="70"/>
  <c r="CB2" i="70"/>
  <c r="CA2" i="70"/>
  <c r="BZ2" i="70"/>
  <c r="BY2" i="70"/>
  <c r="BX2" i="70"/>
  <c r="BW2" i="70"/>
  <c r="BV2" i="70"/>
  <c r="BU2" i="70"/>
  <c r="BT2" i="70"/>
  <c r="BS2" i="70"/>
  <c r="BR2" i="70"/>
  <c r="BQ2" i="70"/>
  <c r="BP2" i="70"/>
  <c r="BO2" i="70"/>
  <c r="BN2" i="70"/>
  <c r="BM2" i="70"/>
  <c r="BL2" i="70"/>
  <c r="BK2" i="70"/>
  <c r="BJ2" i="70"/>
  <c r="BI2" i="70"/>
  <c r="BH2" i="70"/>
  <c r="BG2" i="70"/>
  <c r="BF2" i="70"/>
  <c r="BE2" i="70"/>
  <c r="BD2" i="70"/>
  <c r="BC2" i="70"/>
  <c r="BB2" i="70"/>
  <c r="BA2" i="70"/>
  <c r="AZ2" i="70"/>
  <c r="AY2" i="70"/>
  <c r="AX2" i="70"/>
  <c r="AW2" i="70"/>
  <c r="AV2" i="70"/>
  <c r="AU2" i="70"/>
  <c r="AT2" i="70"/>
  <c r="AS2" i="70"/>
  <c r="AR2" i="70"/>
  <c r="AQ2" i="70"/>
  <c r="AP2" i="70"/>
  <c r="AO2" i="70"/>
  <c r="AN2" i="70"/>
  <c r="AM2" i="70"/>
  <c r="AL2" i="70"/>
  <c r="AK2" i="70"/>
  <c r="AJ2" i="70"/>
  <c r="AI2" i="70"/>
  <c r="AH2" i="70"/>
  <c r="AG2" i="70"/>
  <c r="AF2" i="70"/>
  <c r="AE2" i="70"/>
  <c r="AD2" i="70"/>
  <c r="AC2" i="70"/>
  <c r="AB2" i="70"/>
  <c r="AA2" i="70"/>
  <c r="Z2" i="70"/>
  <c r="Y2" i="70"/>
  <c r="X2" i="70"/>
  <c r="W2" i="70"/>
  <c r="V2" i="70"/>
  <c r="U2" i="70"/>
  <c r="T2" i="70"/>
  <c r="S2" i="70"/>
  <c r="R2" i="70"/>
  <c r="Q2" i="70"/>
  <c r="K9" i="62"/>
  <c r="K12" i="26"/>
  <c r="J9" i="11"/>
  <c r="R10" i="16"/>
  <c r="K6" i="26"/>
  <c r="G14" i="26"/>
  <c r="F14" i="26"/>
  <c r="H14" i="26"/>
  <c r="I14" i="26"/>
  <c r="S4" i="97"/>
  <c r="V2" i="97"/>
  <c r="S2" i="97"/>
  <c r="X5" i="97"/>
  <c r="X4" i="97"/>
  <c r="X3" i="97"/>
  <c r="M2" i="98"/>
  <c r="M2" i="73"/>
  <c r="M10" i="72"/>
  <c r="M12" i="74"/>
  <c r="M8" i="76"/>
  <c r="M11" i="77"/>
  <c r="M15" i="78"/>
  <c r="M16" i="81"/>
  <c r="M34" i="82"/>
  <c r="M11" i="82"/>
  <c r="M3" i="86"/>
  <c r="M27" i="87"/>
  <c r="Y13" i="88"/>
  <c r="AB13" i="88"/>
  <c r="AC13" i="88"/>
  <c r="AA13" i="88"/>
  <c r="M2" i="75"/>
  <c r="M12" i="72"/>
  <c r="M6" i="74"/>
  <c r="M10" i="76"/>
  <c r="M13" i="77"/>
  <c r="M9" i="78"/>
  <c r="M3" i="80"/>
  <c r="M36" i="82"/>
  <c r="M28" i="82"/>
  <c r="M13" i="82"/>
  <c r="M57" i="85"/>
  <c r="M40" i="85"/>
  <c r="M8" i="85"/>
  <c r="M27" i="86"/>
  <c r="M70" i="87"/>
  <c r="M19" i="87"/>
  <c r="M4" i="97"/>
  <c r="M6" i="97"/>
  <c r="M8" i="97"/>
  <c r="M10" i="97"/>
  <c r="M12" i="97"/>
  <c r="M14" i="97"/>
  <c r="M16" i="97"/>
  <c r="M18" i="97"/>
  <c r="M20" i="97"/>
  <c r="M22" i="97"/>
  <c r="M24" i="97"/>
  <c r="M26" i="97"/>
  <c r="M28" i="97"/>
  <c r="M30" i="97"/>
  <c r="M4" i="94"/>
  <c r="M6" i="94"/>
  <c r="M8" i="94"/>
  <c r="M10" i="94"/>
  <c r="M12" i="94"/>
  <c r="M14" i="94"/>
  <c r="M16" i="94"/>
  <c r="M18" i="94"/>
  <c r="M20" i="94"/>
  <c r="M22" i="94"/>
  <c r="M3" i="93"/>
  <c r="M5" i="93"/>
  <c r="M7" i="93"/>
  <c r="M9" i="93"/>
  <c r="M11" i="93"/>
  <c r="M13" i="93"/>
  <c r="M15" i="93"/>
  <c r="M17" i="93"/>
  <c r="M19" i="93"/>
  <c r="M21" i="93"/>
  <c r="M23" i="93"/>
  <c r="M25" i="93"/>
  <c r="M27" i="93"/>
  <c r="M29" i="93"/>
  <c r="M31" i="93"/>
  <c r="M33" i="93"/>
  <c r="M35" i="93"/>
  <c r="M37" i="93"/>
  <c r="M39" i="93"/>
  <c r="M41" i="93"/>
  <c r="M4" i="91"/>
  <c r="M6" i="91"/>
  <c r="M8" i="91"/>
  <c r="M10" i="91"/>
  <c r="M12" i="91"/>
  <c r="M14" i="91"/>
  <c r="M16" i="91"/>
  <c r="M18" i="91"/>
  <c r="M20" i="91"/>
  <c r="M22" i="91"/>
  <c r="M24" i="91"/>
  <c r="M26" i="91"/>
  <c r="M28" i="91"/>
  <c r="M3" i="89"/>
  <c r="M5" i="89"/>
  <c r="M7" i="89"/>
  <c r="M9" i="89"/>
  <c r="M11" i="89"/>
  <c r="M13" i="89"/>
  <c r="M15" i="89"/>
  <c r="M17" i="89"/>
  <c r="M19" i="89"/>
  <c r="M21" i="89"/>
  <c r="M23" i="89"/>
  <c r="M25" i="89"/>
  <c r="M27" i="89"/>
  <c r="M29" i="89"/>
  <c r="M31" i="89"/>
  <c r="M33" i="89"/>
  <c r="M35" i="89"/>
  <c r="M37" i="89"/>
  <c r="M39" i="89"/>
  <c r="M41" i="89"/>
  <c r="M43" i="89"/>
  <c r="M45" i="89"/>
  <c r="M47" i="89"/>
  <c r="M49" i="89"/>
  <c r="M51" i="89"/>
  <c r="M53" i="89"/>
  <c r="M55" i="89"/>
  <c r="M57" i="89"/>
  <c r="M33" i="87"/>
  <c r="M37" i="87"/>
  <c r="M41" i="87"/>
  <c r="M45" i="87"/>
  <c r="M49" i="87"/>
  <c r="M7" i="97"/>
  <c r="M15" i="97"/>
  <c r="M23" i="97"/>
  <c r="M3" i="94"/>
  <c r="M11" i="94"/>
  <c r="M19" i="94"/>
  <c r="M6" i="93"/>
  <c r="M14" i="93"/>
  <c r="M22" i="93"/>
  <c r="M30" i="93"/>
  <c r="M38" i="93"/>
  <c r="M7" i="91"/>
  <c r="M15" i="91"/>
  <c r="M23" i="91"/>
  <c r="M4" i="89"/>
  <c r="M12" i="89"/>
  <c r="M20" i="89"/>
  <c r="M28" i="89"/>
  <c r="M36" i="89"/>
  <c r="M44" i="89"/>
  <c r="M52" i="89"/>
  <c r="M36" i="87"/>
  <c r="M39" i="87"/>
  <c r="M42" i="87"/>
  <c r="M52" i="87"/>
  <c r="M56" i="87"/>
  <c r="M60" i="87"/>
  <c r="M64" i="87"/>
  <c r="M68" i="87"/>
  <c r="M72" i="87"/>
  <c r="M76" i="87"/>
  <c r="M5" i="86"/>
  <c r="M9" i="86"/>
  <c r="M13" i="86"/>
  <c r="M17" i="86"/>
  <c r="M21" i="86"/>
  <c r="M25" i="86"/>
  <c r="M29" i="86"/>
  <c r="M33" i="86"/>
  <c r="M37" i="86"/>
  <c r="M41" i="86"/>
  <c r="M45" i="86"/>
  <c r="M49" i="86"/>
  <c r="M53" i="86"/>
  <c r="M6" i="85"/>
  <c r="M10" i="85"/>
  <c r="M14" i="85"/>
  <c r="M18" i="85"/>
  <c r="M22" i="85"/>
  <c r="M26" i="85"/>
  <c r="M30" i="85"/>
  <c r="M34" i="85"/>
  <c r="M38" i="85"/>
  <c r="M42" i="85"/>
  <c r="M46" i="85"/>
  <c r="M50" i="85"/>
  <c r="M54" i="85"/>
  <c r="M58" i="85"/>
  <c r="M62" i="85"/>
  <c r="M66" i="85"/>
  <c r="M13" i="84"/>
  <c r="M15" i="84"/>
  <c r="M17" i="84"/>
  <c r="M19" i="84"/>
  <c r="M5" i="97"/>
  <c r="M13" i="97"/>
  <c r="M21" i="97"/>
  <c r="M29" i="97"/>
  <c r="M9" i="94"/>
  <c r="M17" i="94"/>
  <c r="M4" i="93"/>
  <c r="M12" i="93"/>
  <c r="M20" i="93"/>
  <c r="M28" i="93"/>
  <c r="M36" i="93"/>
  <c r="M5" i="91"/>
  <c r="M13" i="91"/>
  <c r="M21" i="91"/>
  <c r="M29" i="91"/>
  <c r="M10" i="89"/>
  <c r="M18" i="89"/>
  <c r="M26" i="89"/>
  <c r="M34" i="89"/>
  <c r="M42" i="89"/>
  <c r="M50" i="89"/>
  <c r="M3" i="88"/>
  <c r="M5" i="88"/>
  <c r="M7" i="88"/>
  <c r="M9" i="88"/>
  <c r="M11" i="88"/>
  <c r="M13" i="88"/>
  <c r="M15" i="88"/>
  <c r="M17" i="88"/>
  <c r="M19" i="88"/>
  <c r="M21" i="88"/>
  <c r="M23" i="88"/>
  <c r="M25" i="88"/>
  <c r="M27" i="88"/>
  <c r="M29" i="88"/>
  <c r="M4" i="87"/>
  <c r="M6" i="87"/>
  <c r="M8" i="87"/>
  <c r="M10" i="87"/>
  <c r="M12" i="87"/>
  <c r="M14" i="87"/>
  <c r="M16" i="87"/>
  <c r="M18" i="87"/>
  <c r="M20" i="87"/>
  <c r="M22" i="87"/>
  <c r="M24" i="87"/>
  <c r="M26" i="87"/>
  <c r="M28" i="87"/>
  <c r="M30" i="87"/>
  <c r="M32" i="87"/>
  <c r="M35" i="87"/>
  <c r="M38" i="87"/>
  <c r="M48" i="87"/>
  <c r="M51" i="87"/>
  <c r="M55" i="87"/>
  <c r="M59" i="87"/>
  <c r="M63" i="87"/>
  <c r="M67" i="87"/>
  <c r="M71" i="87"/>
  <c r="M75" i="87"/>
  <c r="M4" i="86"/>
  <c r="M8" i="86"/>
  <c r="M12" i="86"/>
  <c r="M16" i="86"/>
  <c r="M20" i="86"/>
  <c r="M24" i="86"/>
  <c r="M28" i="86"/>
  <c r="M32" i="86"/>
  <c r="M36" i="86"/>
  <c r="M40" i="86"/>
  <c r="M44" i="86"/>
  <c r="M48" i="86"/>
  <c r="M52" i="86"/>
  <c r="M5" i="85"/>
  <c r="M9" i="85"/>
  <c r="M13" i="85"/>
  <c r="M17" i="85"/>
  <c r="M21" i="85"/>
  <c r="M25" i="85"/>
  <c r="M29" i="85"/>
  <c r="M33" i="85"/>
  <c r="M37" i="85"/>
  <c r="M41" i="85"/>
  <c r="M45" i="85"/>
  <c r="M49" i="85"/>
  <c r="M11" i="97"/>
  <c r="M27" i="97"/>
  <c r="M15" i="94"/>
  <c r="M10" i="93"/>
  <c r="M26" i="93"/>
  <c r="M3" i="91"/>
  <c r="M19" i="91"/>
  <c r="M8" i="89"/>
  <c r="M24" i="89"/>
  <c r="M40" i="89"/>
  <c r="M56" i="89"/>
  <c r="M4" i="88"/>
  <c r="M12" i="88"/>
  <c r="M20" i="88"/>
  <c r="M28" i="88"/>
  <c r="M9" i="87"/>
  <c r="M17" i="87"/>
  <c r="M25" i="87"/>
  <c r="M40" i="87"/>
  <c r="M53" i="87"/>
  <c r="M61" i="87"/>
  <c r="M69" i="87"/>
  <c r="M77" i="87"/>
  <c r="M10" i="86"/>
  <c r="M18" i="86"/>
  <c r="M26" i="86"/>
  <c r="M34" i="86"/>
  <c r="M42" i="86"/>
  <c r="M50" i="86"/>
  <c r="M7" i="85"/>
  <c r="M15" i="85"/>
  <c r="M23" i="85"/>
  <c r="M31" i="85"/>
  <c r="M39" i="85"/>
  <c r="M47" i="85"/>
  <c r="M53" i="85"/>
  <c r="M56" i="85"/>
  <c r="M59" i="85"/>
  <c r="M4" i="84"/>
  <c r="M6" i="84"/>
  <c r="M8" i="84"/>
  <c r="M10" i="84"/>
  <c r="M14" i="84"/>
  <c r="M21" i="84"/>
  <c r="M23" i="84"/>
  <c r="M25" i="84"/>
  <c r="M27" i="84"/>
  <c r="M4" i="82"/>
  <c r="M6" i="82"/>
  <c r="M8" i="82"/>
  <c r="M10" i="82"/>
  <c r="M19" i="82"/>
  <c r="M21" i="82"/>
  <c r="M23" i="82"/>
  <c r="M25" i="82"/>
  <c r="M9" i="81"/>
  <c r="M11" i="81"/>
  <c r="M13" i="81"/>
  <c r="M15" i="81"/>
  <c r="M9" i="80"/>
  <c r="M11" i="80"/>
  <c r="M13" i="80"/>
  <c r="M15" i="80"/>
  <c r="M17" i="80"/>
  <c r="M19" i="80"/>
  <c r="M4" i="78"/>
  <c r="M6" i="78"/>
  <c r="M4" i="77"/>
  <c r="M6" i="77"/>
  <c r="M8" i="77"/>
  <c r="M10" i="77"/>
  <c r="M16" i="76"/>
  <c r="M18" i="76"/>
  <c r="M20" i="76"/>
  <c r="M3" i="74"/>
  <c r="M14" i="74"/>
  <c r="M16" i="74"/>
  <c r="M18" i="74"/>
  <c r="M20" i="74"/>
  <c r="M3" i="72"/>
  <c r="M5" i="72"/>
  <c r="M7" i="72"/>
  <c r="M9" i="72"/>
  <c r="M18" i="72"/>
  <c r="M20" i="72"/>
  <c r="M2" i="80"/>
  <c r="M2" i="79"/>
  <c r="M2" i="84"/>
  <c r="M2" i="85"/>
  <c r="M2" i="87"/>
  <c r="M2" i="89"/>
  <c r="M2" i="91"/>
  <c r="M2" i="93"/>
  <c r="M3" i="71"/>
  <c r="M7" i="71"/>
  <c r="M11" i="71"/>
  <c r="M3" i="97"/>
  <c r="M19" i="97"/>
  <c r="M7" i="94"/>
  <c r="M23" i="94"/>
  <c r="M18" i="93"/>
  <c r="M34" i="93"/>
  <c r="M11" i="91"/>
  <c r="M27" i="91"/>
  <c r="M16" i="89"/>
  <c r="M32" i="89"/>
  <c r="M48" i="89"/>
  <c r="M8" i="88"/>
  <c r="M16" i="88"/>
  <c r="M24" i="88"/>
  <c r="M13" i="87"/>
  <c r="M21" i="87"/>
  <c r="M29" i="87"/>
  <c r="M44" i="87"/>
  <c r="M47" i="87"/>
  <c r="M57" i="87"/>
  <c r="M14" i="86"/>
  <c r="M22" i="86"/>
  <c r="M38" i="86"/>
  <c r="M46" i="86"/>
  <c r="M11" i="85"/>
  <c r="M35" i="85"/>
  <c r="M43" i="85"/>
  <c r="M64" i="85"/>
  <c r="M7" i="84"/>
  <c r="M11" i="84"/>
  <c r="M18" i="84"/>
  <c r="M24" i="84"/>
  <c r="M26" i="84"/>
  <c r="M5" i="82"/>
  <c r="M20" i="82"/>
  <c r="M22" i="82"/>
  <c r="M10" i="81"/>
  <c r="M14" i="81"/>
  <c r="M12" i="80"/>
  <c r="M16" i="80"/>
  <c r="M5" i="78"/>
  <c r="M3" i="77"/>
  <c r="M7" i="77"/>
  <c r="M9" i="77"/>
  <c r="M19" i="76"/>
  <c r="M13" i="74"/>
  <c r="M17" i="74"/>
  <c r="M19" i="74"/>
  <c r="M4" i="72"/>
  <c r="M19" i="72"/>
  <c r="M2" i="81"/>
  <c r="M2" i="83"/>
  <c r="M2" i="88"/>
  <c r="M2" i="92"/>
  <c r="M9" i="71"/>
  <c r="M5" i="94"/>
  <c r="M21" i="94"/>
  <c r="M16" i="93"/>
  <c r="M32" i="93"/>
  <c r="M14" i="89"/>
  <c r="M9" i="97"/>
  <c r="M25" i="97"/>
  <c r="M13" i="94"/>
  <c r="M8" i="93"/>
  <c r="M24" i="93"/>
  <c r="M40" i="93"/>
  <c r="M17" i="91"/>
  <c r="M6" i="89"/>
  <c r="M22" i="89"/>
  <c r="M38" i="89"/>
  <c r="M54" i="89"/>
  <c r="M10" i="88"/>
  <c r="M18" i="88"/>
  <c r="M26" i="88"/>
  <c r="M7" i="87"/>
  <c r="M15" i="87"/>
  <c r="M23" i="87"/>
  <c r="M31" i="87"/>
  <c r="M50" i="87"/>
  <c r="M58" i="87"/>
  <c r="M66" i="87"/>
  <c r="M74" i="87"/>
  <c r="M7" i="86"/>
  <c r="M15" i="86"/>
  <c r="M23" i="86"/>
  <c r="M31" i="86"/>
  <c r="M39" i="86"/>
  <c r="M47" i="86"/>
  <c r="M4" i="85"/>
  <c r="M12" i="85"/>
  <c r="M20" i="85"/>
  <c r="M28" i="85"/>
  <c r="M36" i="85"/>
  <c r="M44" i="85"/>
  <c r="M52" i="85"/>
  <c r="M55" i="85"/>
  <c r="M65" i="85"/>
  <c r="M68" i="85"/>
  <c r="M69" i="85"/>
  <c r="M70" i="85"/>
  <c r="M71" i="85"/>
  <c r="M72" i="85"/>
  <c r="M73" i="85"/>
  <c r="M74" i="85"/>
  <c r="M75" i="85"/>
  <c r="M76" i="85"/>
  <c r="M77" i="85"/>
  <c r="M78" i="85"/>
  <c r="M79" i="85"/>
  <c r="M80" i="85"/>
  <c r="M81" i="85"/>
  <c r="M82" i="85"/>
  <c r="M83" i="85"/>
  <c r="M84" i="85"/>
  <c r="M85" i="85"/>
  <c r="M86" i="85"/>
  <c r="M87" i="85"/>
  <c r="M88" i="85"/>
  <c r="M89" i="85"/>
  <c r="M90" i="85"/>
  <c r="M91" i="85"/>
  <c r="M92" i="85"/>
  <c r="M93" i="85"/>
  <c r="M94" i="85"/>
  <c r="M95" i="85"/>
  <c r="M96" i="85"/>
  <c r="M97" i="85"/>
  <c r="M98" i="85"/>
  <c r="M99" i="85"/>
  <c r="M100" i="85"/>
  <c r="M101" i="85"/>
  <c r="M102" i="85"/>
  <c r="M103" i="85"/>
  <c r="M104" i="85"/>
  <c r="M105" i="85"/>
  <c r="M106" i="85"/>
  <c r="M107" i="85"/>
  <c r="M108" i="85"/>
  <c r="M109" i="85"/>
  <c r="M3" i="84"/>
  <c r="M12" i="84"/>
  <c r="M12" i="82"/>
  <c r="M14" i="82"/>
  <c r="M16" i="82"/>
  <c r="M18" i="82"/>
  <c r="M27" i="82"/>
  <c r="M29" i="82"/>
  <c r="M31" i="82"/>
  <c r="M33" i="82"/>
  <c r="M35" i="82"/>
  <c r="M37" i="82"/>
  <c r="M4" i="81"/>
  <c r="M6" i="81"/>
  <c r="M17" i="81"/>
  <c r="M4" i="80"/>
  <c r="M6" i="80"/>
  <c r="M8" i="80"/>
  <c r="M8" i="78"/>
  <c r="M10" i="78"/>
  <c r="M12" i="78"/>
  <c r="M14" i="78"/>
  <c r="M12" i="77"/>
  <c r="M3" i="76"/>
  <c r="M5" i="76"/>
  <c r="M7" i="76"/>
  <c r="M9" i="76"/>
  <c r="M11" i="76"/>
  <c r="M13" i="76"/>
  <c r="M15" i="76"/>
  <c r="M5" i="74"/>
  <c r="M7" i="74"/>
  <c r="M9" i="74"/>
  <c r="M11" i="74"/>
  <c r="M11" i="72"/>
  <c r="M13" i="72"/>
  <c r="M15" i="72"/>
  <c r="M17" i="72"/>
  <c r="M2" i="74"/>
  <c r="M2" i="76"/>
  <c r="M2" i="95"/>
  <c r="M2" i="97"/>
  <c r="M2" i="72"/>
  <c r="M4" i="71"/>
  <c r="M8" i="71"/>
  <c r="M2" i="71"/>
  <c r="M5" i="87"/>
  <c r="M65" i="87"/>
  <c r="M73" i="87"/>
  <c r="M6" i="86"/>
  <c r="M30" i="86"/>
  <c r="M3" i="85"/>
  <c r="M19" i="85"/>
  <c r="M27" i="85"/>
  <c r="M51" i="85"/>
  <c r="M61" i="85"/>
  <c r="M67" i="85"/>
  <c r="M5" i="84"/>
  <c r="M9" i="84"/>
  <c r="M20" i="84"/>
  <c r="M22" i="84"/>
  <c r="M3" i="82"/>
  <c r="M7" i="82"/>
  <c r="M9" i="82"/>
  <c r="M24" i="82"/>
  <c r="M26" i="82"/>
  <c r="M8" i="81"/>
  <c r="M12" i="81"/>
  <c r="M10" i="80"/>
  <c r="M14" i="80"/>
  <c r="M18" i="80"/>
  <c r="M3" i="78"/>
  <c r="M7" i="78"/>
  <c r="M5" i="77"/>
  <c r="M17" i="76"/>
  <c r="M21" i="76"/>
  <c r="M4" i="74"/>
  <c r="M15" i="74"/>
  <c r="M21" i="74"/>
  <c r="M6" i="72"/>
  <c r="M8" i="72"/>
  <c r="M21" i="72"/>
  <c r="M2" i="78"/>
  <c r="M2" i="82"/>
  <c r="M2" i="86"/>
  <c r="M2" i="90"/>
  <c r="M5" i="71"/>
  <c r="M17" i="97"/>
  <c r="M9" i="91"/>
  <c r="M25" i="91"/>
  <c r="M30" i="89"/>
  <c r="M6" i="71"/>
  <c r="M7" i="81"/>
  <c r="M48" i="85"/>
  <c r="M16" i="85"/>
  <c r="M35" i="86"/>
  <c r="M46" i="87"/>
  <c r="M22" i="88"/>
  <c r="M2" i="94"/>
  <c r="M2" i="77"/>
  <c r="M14" i="72"/>
  <c r="M8" i="74"/>
  <c r="M12" i="76"/>
  <c r="M4" i="76"/>
  <c r="M11" i="78"/>
  <c r="M5" i="80"/>
  <c r="M3" i="81"/>
  <c r="M30" i="82"/>
  <c r="M15" i="82"/>
  <c r="M60" i="85"/>
  <c r="M32" i="85"/>
  <c r="M51" i="86"/>
  <c r="M19" i="86"/>
  <c r="M62" i="87"/>
  <c r="M34" i="87"/>
  <c r="M11" i="87"/>
  <c r="M6" i="88"/>
  <c r="M46" i="89"/>
  <c r="H5" i="97"/>
  <c r="H9" i="97"/>
  <c r="H13" i="97"/>
  <c r="H17" i="97"/>
  <c r="H21" i="97"/>
  <c r="H25" i="97"/>
  <c r="H29" i="97"/>
  <c r="H5" i="94"/>
  <c r="H9" i="94"/>
  <c r="H13" i="94"/>
  <c r="H17" i="94"/>
  <c r="H21" i="94"/>
  <c r="H4" i="93"/>
  <c r="H8" i="93"/>
  <c r="H12" i="93"/>
  <c r="H16" i="93"/>
  <c r="H20" i="93"/>
  <c r="H24" i="93"/>
  <c r="H28" i="93"/>
  <c r="H32" i="93"/>
  <c r="H36" i="93"/>
  <c r="H40" i="93"/>
  <c r="H5" i="91"/>
  <c r="H9" i="91"/>
  <c r="H13" i="91"/>
  <c r="H17" i="91"/>
  <c r="H21" i="91"/>
  <c r="H25" i="91"/>
  <c r="H29" i="91"/>
  <c r="H6" i="89"/>
  <c r="H10" i="89"/>
  <c r="H14" i="89"/>
  <c r="H18" i="89"/>
  <c r="H22" i="89"/>
  <c r="H26" i="89"/>
  <c r="H30" i="89"/>
  <c r="H34" i="89"/>
  <c r="H38" i="89"/>
  <c r="H42" i="89"/>
  <c r="H46" i="89"/>
  <c r="H50" i="89"/>
  <c r="H54" i="89"/>
  <c r="H3" i="88"/>
  <c r="H7" i="88"/>
  <c r="H11" i="88"/>
  <c r="H15" i="88"/>
  <c r="H19" i="88"/>
  <c r="H23" i="88"/>
  <c r="H27" i="88"/>
  <c r="H4" i="87"/>
  <c r="H8" i="87"/>
  <c r="H12" i="87"/>
  <c r="H16" i="87"/>
  <c r="H20" i="87"/>
  <c r="H24" i="87"/>
  <c r="H28" i="87"/>
  <c r="H32" i="87"/>
  <c r="H33" i="87"/>
  <c r="H34" i="87"/>
  <c r="H35" i="87"/>
  <c r="H36" i="87"/>
  <c r="H37" i="87"/>
  <c r="H38" i="87"/>
  <c r="H39" i="87"/>
  <c r="H40" i="87"/>
  <c r="H41" i="87"/>
  <c r="H42" i="87"/>
  <c r="H43" i="87"/>
  <c r="H44" i="87"/>
  <c r="H45" i="87"/>
  <c r="H46" i="87"/>
  <c r="H47" i="87"/>
  <c r="H48" i="87"/>
  <c r="H49" i="87"/>
  <c r="H50" i="87"/>
  <c r="H51" i="87"/>
  <c r="H52" i="87"/>
  <c r="H53" i="87"/>
  <c r="H54" i="87"/>
  <c r="H55" i="87"/>
  <c r="H56" i="87"/>
  <c r="H57" i="87"/>
  <c r="H58" i="87"/>
  <c r="H59" i="87"/>
  <c r="H60" i="87"/>
  <c r="H4" i="97"/>
  <c r="H8" i="97"/>
  <c r="H12" i="97"/>
  <c r="H16" i="97"/>
  <c r="H20" i="97"/>
  <c r="H24" i="97"/>
  <c r="H28" i="97"/>
  <c r="H4" i="94"/>
  <c r="H8" i="94"/>
  <c r="H12" i="94"/>
  <c r="H16" i="94"/>
  <c r="H20" i="94"/>
  <c r="H3" i="93"/>
  <c r="H7" i="93"/>
  <c r="H11" i="93"/>
  <c r="H15" i="93"/>
  <c r="H19" i="93"/>
  <c r="H23" i="93"/>
  <c r="H27" i="93"/>
  <c r="H31" i="93"/>
  <c r="H35" i="93"/>
  <c r="H39" i="93"/>
  <c r="H4" i="91"/>
  <c r="H8" i="91"/>
  <c r="H12" i="91"/>
  <c r="H16" i="91"/>
  <c r="H20" i="91"/>
  <c r="H24" i="91"/>
  <c r="H28" i="91"/>
  <c r="H5" i="89"/>
  <c r="H9" i="89"/>
  <c r="H13" i="89"/>
  <c r="H17" i="89"/>
  <c r="H21" i="89"/>
  <c r="H25" i="89"/>
  <c r="H29" i="89"/>
  <c r="H33" i="89"/>
  <c r="H37" i="89"/>
  <c r="H41" i="89"/>
  <c r="H45" i="89"/>
  <c r="H49" i="89"/>
  <c r="H53" i="89"/>
  <c r="H57" i="89"/>
  <c r="H6" i="88"/>
  <c r="H10" i="88"/>
  <c r="H14" i="88"/>
  <c r="H18" i="88"/>
  <c r="H22" i="88"/>
  <c r="H26" i="88"/>
  <c r="H3" i="87"/>
  <c r="H7" i="87"/>
  <c r="H11" i="87"/>
  <c r="H15" i="87"/>
  <c r="H19" i="87"/>
  <c r="H23" i="87"/>
  <c r="H27" i="87"/>
  <c r="H31" i="87"/>
  <c r="H7" i="97"/>
  <c r="H15" i="97"/>
  <c r="H23" i="97"/>
  <c r="H3" i="94"/>
  <c r="H11" i="94"/>
  <c r="H19" i="94"/>
  <c r="H6" i="93"/>
  <c r="H14" i="93"/>
  <c r="H22" i="93"/>
  <c r="H30" i="93"/>
  <c r="H38" i="93"/>
  <c r="H7" i="91"/>
  <c r="H15" i="91"/>
  <c r="H23" i="91"/>
  <c r="H4" i="89"/>
  <c r="H12" i="89"/>
  <c r="H20" i="89"/>
  <c r="H28" i="89"/>
  <c r="H36" i="89"/>
  <c r="H44" i="89"/>
  <c r="H52" i="89"/>
  <c r="H5" i="88"/>
  <c r="H13" i="88"/>
  <c r="H21" i="88"/>
  <c r="H29" i="88"/>
  <c r="H10" i="87"/>
  <c r="H18" i="87"/>
  <c r="H26" i="87"/>
  <c r="H6" i="84"/>
  <c r="H10" i="84"/>
  <c r="H14" i="84"/>
  <c r="H18" i="84"/>
  <c r="H22" i="84"/>
  <c r="H26" i="84"/>
  <c r="H5" i="82"/>
  <c r="H9" i="82"/>
  <c r="H13" i="82"/>
  <c r="H17" i="82"/>
  <c r="H21" i="82"/>
  <c r="H25" i="82"/>
  <c r="H29" i="82"/>
  <c r="H33" i="82"/>
  <c r="H37" i="82"/>
  <c r="H6" i="81"/>
  <c r="H10" i="81"/>
  <c r="H14" i="81"/>
  <c r="H3" i="80"/>
  <c r="H7" i="80"/>
  <c r="H11" i="80"/>
  <c r="H15" i="80"/>
  <c r="H19" i="80"/>
  <c r="H6" i="78"/>
  <c r="H10" i="78"/>
  <c r="H14" i="78"/>
  <c r="H5" i="77"/>
  <c r="H9" i="77"/>
  <c r="H13" i="77"/>
  <c r="H6" i="76"/>
  <c r="H10" i="76"/>
  <c r="H14" i="76"/>
  <c r="H18" i="76"/>
  <c r="H3" i="74"/>
  <c r="H7" i="74"/>
  <c r="H11" i="74"/>
  <c r="H15" i="74"/>
  <c r="H19" i="74"/>
  <c r="H4" i="72"/>
  <c r="H8" i="72"/>
  <c r="H12" i="72"/>
  <c r="H16" i="72"/>
  <c r="H20" i="72"/>
  <c r="H2" i="75"/>
  <c r="H2" i="80"/>
  <c r="H2" i="84"/>
  <c r="H2" i="87"/>
  <c r="H2" i="91"/>
  <c r="H2" i="95"/>
  <c r="H2" i="72"/>
  <c r="H4" i="71"/>
  <c r="H6" i="71"/>
  <c r="H8" i="71"/>
  <c r="H10" i="71"/>
  <c r="H11" i="97"/>
  <c r="H19" i="97"/>
  <c r="H7" i="94"/>
  <c r="H10" i="93"/>
  <c r="H26" i="93"/>
  <c r="H6" i="97"/>
  <c r="H14" i="97"/>
  <c r="H22" i="97"/>
  <c r="H30" i="97"/>
  <c r="H10" i="94"/>
  <c r="H18" i="94"/>
  <c r="H5" i="93"/>
  <c r="H13" i="93"/>
  <c r="H21" i="93"/>
  <c r="H29" i="93"/>
  <c r="H37" i="93"/>
  <c r="H6" i="91"/>
  <c r="H14" i="91"/>
  <c r="H22" i="91"/>
  <c r="H3" i="89"/>
  <c r="H11" i="89"/>
  <c r="H19" i="89"/>
  <c r="H27" i="89"/>
  <c r="H35" i="89"/>
  <c r="H43" i="89"/>
  <c r="H51" i="89"/>
  <c r="H4" i="88"/>
  <c r="H12" i="88"/>
  <c r="H20" i="88"/>
  <c r="H28" i="88"/>
  <c r="H9" i="87"/>
  <c r="H17" i="87"/>
  <c r="H25" i="87"/>
  <c r="H5" i="84"/>
  <c r="H9" i="84"/>
  <c r="H13" i="84"/>
  <c r="H17" i="84"/>
  <c r="H21" i="84"/>
  <c r="H25" i="84"/>
  <c r="H4" i="82"/>
  <c r="H8" i="82"/>
  <c r="H12" i="82"/>
  <c r="H16" i="82"/>
  <c r="H20" i="82"/>
  <c r="H24" i="82"/>
  <c r="H28" i="82"/>
  <c r="H32" i="82"/>
  <c r="H36" i="82"/>
  <c r="H5" i="81"/>
  <c r="H9" i="81"/>
  <c r="H13" i="81"/>
  <c r="H17" i="81"/>
  <c r="H6" i="80"/>
  <c r="H10" i="80"/>
  <c r="H14" i="80"/>
  <c r="H18" i="80"/>
  <c r="H5" i="78"/>
  <c r="H9" i="78"/>
  <c r="H13" i="78"/>
  <c r="H4" i="77"/>
  <c r="H8" i="77"/>
  <c r="H12" i="77"/>
  <c r="H5" i="76"/>
  <c r="H9" i="76"/>
  <c r="H13" i="76"/>
  <c r="H17" i="76"/>
  <c r="H21" i="76"/>
  <c r="H6" i="74"/>
  <c r="H10" i="74"/>
  <c r="H14" i="74"/>
  <c r="H18" i="74"/>
  <c r="H3" i="72"/>
  <c r="H7" i="72"/>
  <c r="H11" i="72"/>
  <c r="H15" i="72"/>
  <c r="H19" i="72"/>
  <c r="H2" i="74"/>
  <c r="H2" i="78"/>
  <c r="H2" i="82"/>
  <c r="H2" i="86"/>
  <c r="H2" i="90"/>
  <c r="H2" i="94"/>
  <c r="H2" i="98"/>
  <c r="H2" i="71"/>
  <c r="H3" i="97"/>
  <c r="H27" i="97"/>
  <c r="H15" i="94"/>
  <c r="H23" i="94"/>
  <c r="H18" i="93"/>
  <c r="H34" i="93"/>
  <c r="H10" i="97"/>
  <c r="H14" i="94"/>
  <c r="H25" i="93"/>
  <c r="H10" i="91"/>
  <c r="H26" i="91"/>
  <c r="H15" i="89"/>
  <c r="H31" i="89"/>
  <c r="H47" i="89"/>
  <c r="H8" i="88"/>
  <c r="H24" i="88"/>
  <c r="H13" i="87"/>
  <c r="H29" i="87"/>
  <c r="H3" i="84"/>
  <c r="H11" i="84"/>
  <c r="H19" i="84"/>
  <c r="H27" i="84"/>
  <c r="H10" i="82"/>
  <c r="H18" i="82"/>
  <c r="H26" i="82"/>
  <c r="H34" i="82"/>
  <c r="H7" i="81"/>
  <c r="H15" i="81"/>
  <c r="H8" i="80"/>
  <c r="H16" i="80"/>
  <c r="H7" i="78"/>
  <c r="H15" i="78"/>
  <c r="H10" i="77"/>
  <c r="H7" i="76"/>
  <c r="H15" i="76"/>
  <c r="H4" i="74"/>
  <c r="H12" i="74"/>
  <c r="H20" i="74"/>
  <c r="H9" i="72"/>
  <c r="H17" i="72"/>
  <c r="H2" i="76"/>
  <c r="H2" i="83"/>
  <c r="H2" i="92"/>
  <c r="H9" i="71"/>
  <c r="H18" i="91"/>
  <c r="H39" i="89"/>
  <c r="H55" i="89"/>
  <c r="H16" i="88"/>
  <c r="H5" i="87"/>
  <c r="H7" i="84"/>
  <c r="H15" i="84"/>
  <c r="H6" i="82"/>
  <c r="H22" i="82"/>
  <c r="H30" i="82"/>
  <c r="H3" i="81"/>
  <c r="H12" i="80"/>
  <c r="H11" i="78"/>
  <c r="H6" i="77"/>
  <c r="H11" i="76"/>
  <c r="H16" i="74"/>
  <c r="H21" i="72"/>
  <c r="H2" i="81"/>
  <c r="H2" i="88"/>
  <c r="H5" i="71"/>
  <c r="H4" i="85"/>
  <c r="H13" i="85"/>
  <c r="H15" i="85"/>
  <c r="H17" i="85"/>
  <c r="H20" i="85"/>
  <c r="H21" i="85"/>
  <c r="H24" i="85"/>
  <c r="H26" i="85"/>
  <c r="H28" i="85"/>
  <c r="H29" i="85"/>
  <c r="H31" i="85"/>
  <c r="H33" i="85"/>
  <c r="H36" i="85"/>
  <c r="H38" i="85"/>
  <c r="H39" i="85"/>
  <c r="H41" i="85"/>
  <c r="H43" i="85"/>
  <c r="H45" i="85"/>
  <c r="H46" i="85"/>
  <c r="H49" i="85"/>
  <c r="H50" i="85"/>
  <c r="H51" i="85"/>
  <c r="H53" i="85"/>
  <c r="H55" i="85"/>
  <c r="H57" i="85"/>
  <c r="H59" i="85"/>
  <c r="H61" i="85"/>
  <c r="H63" i="85"/>
  <c r="H66" i="85"/>
  <c r="H68" i="85"/>
  <c r="H18" i="97"/>
  <c r="H22" i="94"/>
  <c r="H33" i="93"/>
  <c r="H3" i="91"/>
  <c r="H19" i="91"/>
  <c r="H8" i="89"/>
  <c r="H24" i="89"/>
  <c r="H40" i="89"/>
  <c r="H56" i="89"/>
  <c r="H17" i="88"/>
  <c r="H6" i="87"/>
  <c r="H22" i="87"/>
  <c r="H8" i="84"/>
  <c r="H16" i="84"/>
  <c r="H24" i="84"/>
  <c r="H7" i="82"/>
  <c r="H15" i="82"/>
  <c r="H23" i="82"/>
  <c r="H31" i="82"/>
  <c r="H4" i="81"/>
  <c r="H12" i="81"/>
  <c r="H5" i="80"/>
  <c r="H13" i="80"/>
  <c r="H4" i="78"/>
  <c r="H12" i="78"/>
  <c r="H7" i="77"/>
  <c r="H4" i="76"/>
  <c r="H12" i="76"/>
  <c r="H20" i="76"/>
  <c r="H9" i="74"/>
  <c r="H17" i="74"/>
  <c r="H6" i="72"/>
  <c r="H14" i="72"/>
  <c r="H2" i="73"/>
  <c r="H2" i="79"/>
  <c r="H2" i="89"/>
  <c r="H2" i="97"/>
  <c r="H7" i="71"/>
  <c r="H26" i="97"/>
  <c r="H9" i="93"/>
  <c r="H41" i="93"/>
  <c r="H7" i="89"/>
  <c r="H23" i="89"/>
  <c r="H21" i="87"/>
  <c r="H23" i="84"/>
  <c r="H14" i="82"/>
  <c r="H11" i="81"/>
  <c r="H4" i="80"/>
  <c r="H3" i="78"/>
  <c r="H3" i="76"/>
  <c r="H19" i="76"/>
  <c r="H8" i="74"/>
  <c r="H5" i="72"/>
  <c r="H13" i="72"/>
  <c r="H2" i="96"/>
  <c r="H6" i="94"/>
  <c r="H17" i="93"/>
  <c r="H11" i="91"/>
  <c r="H27" i="91"/>
  <c r="H16" i="89"/>
  <c r="H32" i="89"/>
  <c r="H48" i="89"/>
  <c r="H9" i="88"/>
  <c r="H25" i="88"/>
  <c r="H14" i="87"/>
  <c r="H30" i="87"/>
  <c r="H61" i="87"/>
  <c r="H62" i="87"/>
  <c r="H63" i="87"/>
  <c r="H64" i="87"/>
  <c r="H65" i="87"/>
  <c r="H66" i="87"/>
  <c r="H67" i="87"/>
  <c r="H68" i="87"/>
  <c r="H69" i="87"/>
  <c r="H70" i="87"/>
  <c r="H71" i="87"/>
  <c r="H72" i="87"/>
  <c r="H73" i="87"/>
  <c r="H74" i="87"/>
  <c r="H75" i="87"/>
  <c r="H76" i="87"/>
  <c r="H77" i="87"/>
  <c r="H3" i="86"/>
  <c r="H4" i="86"/>
  <c r="H5" i="86"/>
  <c r="H6" i="86"/>
  <c r="H7" i="86"/>
  <c r="H8" i="86"/>
  <c r="H9" i="86"/>
  <c r="H10" i="86"/>
  <c r="H11" i="86"/>
  <c r="H12" i="86"/>
  <c r="H13" i="86"/>
  <c r="H14" i="86"/>
  <c r="H15" i="86"/>
  <c r="H16" i="86"/>
  <c r="H17" i="86"/>
  <c r="H18" i="86"/>
  <c r="H19" i="86"/>
  <c r="H20" i="86"/>
  <c r="H21" i="86"/>
  <c r="H22" i="86"/>
  <c r="H23" i="86"/>
  <c r="H24" i="86"/>
  <c r="H25" i="86"/>
  <c r="H26" i="86"/>
  <c r="H27" i="86"/>
  <c r="H28" i="86"/>
  <c r="H29" i="86"/>
  <c r="H30" i="86"/>
  <c r="H31" i="86"/>
  <c r="H32" i="86"/>
  <c r="H33" i="86"/>
  <c r="H34" i="86"/>
  <c r="H35" i="86"/>
  <c r="H36" i="86"/>
  <c r="H37" i="86"/>
  <c r="H38" i="86"/>
  <c r="H39" i="86"/>
  <c r="H40" i="86"/>
  <c r="H41" i="86"/>
  <c r="H42" i="86"/>
  <c r="H43" i="86"/>
  <c r="H44" i="86"/>
  <c r="H45" i="86"/>
  <c r="H46" i="86"/>
  <c r="H47" i="86"/>
  <c r="H48" i="86"/>
  <c r="H49" i="86"/>
  <c r="H50" i="86"/>
  <c r="H51" i="86"/>
  <c r="H52" i="86"/>
  <c r="H53" i="86"/>
  <c r="H3" i="85"/>
  <c r="H5" i="85"/>
  <c r="H6" i="85"/>
  <c r="H7" i="85"/>
  <c r="H8" i="85"/>
  <c r="H9" i="85"/>
  <c r="H10" i="85"/>
  <c r="H11" i="85"/>
  <c r="H12" i="85"/>
  <c r="H14" i="85"/>
  <c r="H16" i="85"/>
  <c r="H18" i="85"/>
  <c r="H19" i="85"/>
  <c r="H22" i="85"/>
  <c r="H23" i="85"/>
  <c r="H25" i="85"/>
  <c r="H27" i="85"/>
  <c r="H30" i="85"/>
  <c r="H32" i="85"/>
  <c r="H34" i="85"/>
  <c r="H35" i="85"/>
  <c r="H37" i="85"/>
  <c r="H40" i="85"/>
  <c r="H42" i="85"/>
  <c r="H44" i="85"/>
  <c r="H47" i="85"/>
  <c r="H48" i="85"/>
  <c r="H52" i="85"/>
  <c r="H54" i="85"/>
  <c r="H56" i="85"/>
  <c r="H58" i="85"/>
  <c r="H60" i="85"/>
  <c r="H62" i="85"/>
  <c r="H64" i="85"/>
  <c r="H65" i="85"/>
  <c r="H67" i="85"/>
  <c r="H11" i="71"/>
  <c r="H2" i="85"/>
  <c r="H21" i="74"/>
  <c r="H8" i="76"/>
  <c r="H17" i="80"/>
  <c r="H35" i="82"/>
  <c r="H3" i="82"/>
  <c r="AB12" i="88"/>
  <c r="Z12" i="88"/>
  <c r="AA12" i="88"/>
  <c r="AC12" i="88"/>
  <c r="AC15" i="88"/>
  <c r="AC20" i="88"/>
  <c r="Y12" i="88"/>
  <c r="G2" i="73"/>
  <c r="G2" i="74"/>
  <c r="G2" i="75"/>
  <c r="G2" i="76"/>
  <c r="G2" i="77"/>
  <c r="G2" i="78"/>
  <c r="G2" i="80"/>
  <c r="G2" i="81"/>
  <c r="G2" i="79"/>
  <c r="G2" i="82"/>
  <c r="G2" i="84"/>
  <c r="G2" i="83"/>
  <c r="G2" i="85"/>
  <c r="G2" i="86"/>
  <c r="G2" i="87"/>
  <c r="G2" i="88"/>
  <c r="G2" i="89"/>
  <c r="G2" i="90"/>
  <c r="G2" i="91"/>
  <c r="G2" i="92"/>
  <c r="G2" i="93"/>
  <c r="G2" i="94"/>
  <c r="G2" i="95"/>
  <c r="G2" i="96"/>
  <c r="G2" i="97"/>
  <c r="G2" i="98"/>
  <c r="G2" i="72"/>
  <c r="G3" i="97"/>
  <c r="G4" i="97"/>
  <c r="G5" i="97"/>
  <c r="G6" i="97"/>
  <c r="G7" i="97"/>
  <c r="G8" i="97"/>
  <c r="G9" i="97"/>
  <c r="G10" i="97"/>
  <c r="G11" i="97"/>
  <c r="G12" i="97"/>
  <c r="G13" i="97"/>
  <c r="G14" i="97"/>
  <c r="G15" i="97"/>
  <c r="G16" i="97"/>
  <c r="G17" i="97"/>
  <c r="G18" i="97"/>
  <c r="G19" i="97"/>
  <c r="G20" i="97"/>
  <c r="G21" i="97"/>
  <c r="G22" i="97"/>
  <c r="G23" i="97"/>
  <c r="G24" i="97"/>
  <c r="G25" i="97"/>
  <c r="G26" i="97"/>
  <c r="G27" i="97"/>
  <c r="G28" i="97"/>
  <c r="G29" i="97"/>
  <c r="G30" i="97"/>
  <c r="G3" i="94"/>
  <c r="G4" i="94"/>
  <c r="G5" i="94"/>
  <c r="G6" i="94"/>
  <c r="G7" i="94"/>
  <c r="G8" i="94"/>
  <c r="G9" i="94"/>
  <c r="G10" i="94"/>
  <c r="G11" i="94"/>
  <c r="G12" i="94"/>
  <c r="G13" i="94"/>
  <c r="G14" i="94"/>
  <c r="G15" i="94"/>
  <c r="G16" i="94"/>
  <c r="G17" i="94"/>
  <c r="G18" i="94"/>
  <c r="G19" i="94"/>
  <c r="G20" i="94"/>
  <c r="G21" i="94"/>
  <c r="G22" i="94"/>
  <c r="G23" i="94"/>
  <c r="G3" i="93"/>
  <c r="G4" i="93"/>
  <c r="G5" i="93"/>
  <c r="G6" i="93"/>
  <c r="G7" i="93"/>
  <c r="G8" i="93"/>
  <c r="G9" i="93"/>
  <c r="G10" i="93"/>
  <c r="G11" i="93"/>
  <c r="G12" i="93"/>
  <c r="G13" i="93"/>
  <c r="G14" i="93"/>
  <c r="G15" i="93"/>
  <c r="G16" i="93"/>
  <c r="G17" i="93"/>
  <c r="G18" i="93"/>
  <c r="G19" i="93"/>
  <c r="G20" i="93"/>
  <c r="G21" i="93"/>
  <c r="G22" i="93"/>
  <c r="G23" i="93"/>
  <c r="G24" i="93"/>
  <c r="G25" i="93"/>
  <c r="G26" i="93"/>
  <c r="G27" i="93"/>
  <c r="G28" i="93"/>
  <c r="G29" i="93"/>
  <c r="G30" i="93"/>
  <c r="G31" i="93"/>
  <c r="G32" i="93"/>
  <c r="G33" i="93"/>
  <c r="G34" i="93"/>
  <c r="G35" i="93"/>
  <c r="G36" i="93"/>
  <c r="G37" i="93"/>
  <c r="G38" i="93"/>
  <c r="G39" i="93"/>
  <c r="G40" i="93"/>
  <c r="G41" i="93"/>
  <c r="G3" i="91"/>
  <c r="G4" i="91"/>
  <c r="G5" i="91"/>
  <c r="G6" i="91"/>
  <c r="G7" i="91"/>
  <c r="G8" i="91"/>
  <c r="G9" i="91"/>
  <c r="G10" i="91"/>
  <c r="G11" i="91"/>
  <c r="G12" i="91"/>
  <c r="G13" i="91"/>
  <c r="G14" i="91"/>
  <c r="G15" i="91"/>
  <c r="G16" i="91"/>
  <c r="G17" i="91"/>
  <c r="G18" i="91"/>
  <c r="G19" i="91"/>
  <c r="G20" i="91"/>
  <c r="G21" i="91"/>
  <c r="G22" i="91"/>
  <c r="G23" i="91"/>
  <c r="G24" i="91"/>
  <c r="G25" i="91"/>
  <c r="G26" i="91"/>
  <c r="G27" i="91"/>
  <c r="G28" i="91"/>
  <c r="G29" i="91"/>
  <c r="G3" i="89"/>
  <c r="G4" i="89"/>
  <c r="G5" i="89"/>
  <c r="G6" i="89"/>
  <c r="G7" i="89"/>
  <c r="G8" i="89"/>
  <c r="G9" i="89"/>
  <c r="G10" i="89"/>
  <c r="G11" i="89"/>
  <c r="G12" i="89"/>
  <c r="G13" i="89"/>
  <c r="G14" i="89"/>
  <c r="G15" i="89"/>
  <c r="G16" i="89"/>
  <c r="G17" i="89"/>
  <c r="G18" i="89"/>
  <c r="G19" i="89"/>
  <c r="G20" i="89"/>
  <c r="G21" i="89"/>
  <c r="G22" i="89"/>
  <c r="G23" i="89"/>
  <c r="G24" i="89"/>
  <c r="G25" i="89"/>
  <c r="G26" i="89"/>
  <c r="G27" i="89"/>
  <c r="G28" i="89"/>
  <c r="G29" i="89"/>
  <c r="G30" i="89"/>
  <c r="G31" i="89"/>
  <c r="G32" i="89"/>
  <c r="G33" i="89"/>
  <c r="G34" i="89"/>
  <c r="G35" i="89"/>
  <c r="G36" i="89"/>
  <c r="G37" i="89"/>
  <c r="G38" i="89"/>
  <c r="G39" i="89"/>
  <c r="G40" i="89"/>
  <c r="G41" i="89"/>
  <c r="G42" i="89"/>
  <c r="G43" i="89"/>
  <c r="G44" i="89"/>
  <c r="G45" i="89"/>
  <c r="G46" i="89"/>
  <c r="G47" i="89"/>
  <c r="G48" i="89"/>
  <c r="G49" i="89"/>
  <c r="G50" i="89"/>
  <c r="G51" i="89"/>
  <c r="G52" i="89"/>
  <c r="G53" i="89"/>
  <c r="G54" i="89"/>
  <c r="G55" i="89"/>
  <c r="G56" i="89"/>
  <c r="G57" i="89"/>
  <c r="G3" i="88"/>
  <c r="G4" i="88"/>
  <c r="G5" i="88"/>
  <c r="G6" i="88"/>
  <c r="G7" i="88"/>
  <c r="G8" i="88"/>
  <c r="G9" i="88"/>
  <c r="G10" i="88"/>
  <c r="G11" i="88"/>
  <c r="G12" i="88"/>
  <c r="G13" i="88"/>
  <c r="G14" i="88"/>
  <c r="G15" i="88"/>
  <c r="G16" i="88"/>
  <c r="G17" i="88"/>
  <c r="G18" i="88"/>
  <c r="G19" i="88"/>
  <c r="G20" i="88"/>
  <c r="G21" i="88"/>
  <c r="G22" i="88"/>
  <c r="G23" i="88"/>
  <c r="G24" i="88"/>
  <c r="G25" i="88"/>
  <c r="G26" i="88"/>
  <c r="G27" i="88"/>
  <c r="G28" i="88"/>
  <c r="G29" i="88"/>
  <c r="G3" i="87"/>
  <c r="G4" i="87"/>
  <c r="G5" i="87"/>
  <c r="G6" i="87"/>
  <c r="G7" i="87"/>
  <c r="G8" i="87"/>
  <c r="G9" i="87"/>
  <c r="G10" i="87"/>
  <c r="G11" i="87"/>
  <c r="G12" i="87"/>
  <c r="G13" i="87"/>
  <c r="G14" i="87"/>
  <c r="G15" i="87"/>
  <c r="G16" i="87"/>
  <c r="G17" i="87"/>
  <c r="G18" i="87"/>
  <c r="G19" i="87"/>
  <c r="G20" i="87"/>
  <c r="G21" i="87"/>
  <c r="G22" i="87"/>
  <c r="G23" i="87"/>
  <c r="G24" i="87"/>
  <c r="G25" i="87"/>
  <c r="G26" i="87"/>
  <c r="G27" i="87"/>
  <c r="G28" i="87"/>
  <c r="G29" i="87"/>
  <c r="G30" i="87"/>
  <c r="G31" i="87"/>
  <c r="G32" i="87"/>
  <c r="G21" i="72"/>
  <c r="G20" i="72"/>
  <c r="G19" i="72"/>
  <c r="G18" i="72"/>
  <c r="G17" i="72"/>
  <c r="G16" i="72"/>
  <c r="G15" i="72"/>
  <c r="G14" i="72"/>
  <c r="G13" i="72"/>
  <c r="G12" i="72"/>
  <c r="G11" i="72"/>
  <c r="G10" i="72"/>
  <c r="G9" i="72"/>
  <c r="G8" i="72"/>
  <c r="G7" i="72"/>
  <c r="G6" i="72"/>
  <c r="G5" i="72"/>
  <c r="G4" i="72"/>
  <c r="G3" i="72"/>
  <c r="G21" i="74"/>
  <c r="G20" i="74"/>
  <c r="G19" i="74"/>
  <c r="G18" i="74"/>
  <c r="G17" i="74"/>
  <c r="G16" i="74"/>
  <c r="G15" i="74"/>
  <c r="G14" i="74"/>
  <c r="G13" i="74"/>
  <c r="G12" i="74"/>
  <c r="G11" i="74"/>
  <c r="G10" i="74"/>
  <c r="G9" i="74"/>
  <c r="G8" i="74"/>
  <c r="G7" i="74"/>
  <c r="G6" i="74"/>
  <c r="G5" i="74"/>
  <c r="G4" i="74"/>
  <c r="G3" i="74"/>
  <c r="G21" i="76"/>
  <c r="G20" i="76"/>
  <c r="G19" i="76"/>
  <c r="G18" i="76"/>
  <c r="G17" i="76"/>
  <c r="G16" i="76"/>
  <c r="G15" i="76"/>
  <c r="G14" i="76"/>
  <c r="G13" i="76"/>
  <c r="G12" i="76"/>
  <c r="G11" i="76"/>
  <c r="G10" i="76"/>
  <c r="G9" i="76"/>
  <c r="G8" i="76"/>
  <c r="G7" i="76"/>
  <c r="G6" i="76"/>
  <c r="G5" i="76"/>
  <c r="G4" i="76"/>
  <c r="G3" i="76"/>
  <c r="G13" i="77"/>
  <c r="G12" i="77"/>
  <c r="G11" i="77"/>
  <c r="G10" i="77"/>
  <c r="G9" i="77"/>
  <c r="G8" i="77"/>
  <c r="G7" i="77"/>
  <c r="G6" i="77"/>
  <c r="G5" i="77"/>
  <c r="G4" i="77"/>
  <c r="G3" i="77"/>
  <c r="G15" i="78"/>
  <c r="G14" i="78"/>
  <c r="G13" i="78"/>
  <c r="G12" i="78"/>
  <c r="G11" i="78"/>
  <c r="G10" i="78"/>
  <c r="G9" i="78"/>
  <c r="G8" i="78"/>
  <c r="G7" i="78"/>
  <c r="G6" i="78"/>
  <c r="G5" i="78"/>
  <c r="G4" i="78"/>
  <c r="G3" i="78"/>
  <c r="G19" i="80"/>
  <c r="G18" i="80"/>
  <c r="G17" i="80"/>
  <c r="G16" i="80"/>
  <c r="G15" i="80"/>
  <c r="G14" i="80"/>
  <c r="G13" i="80"/>
  <c r="G12" i="80"/>
  <c r="G11" i="80"/>
  <c r="G10" i="80"/>
  <c r="G9" i="80"/>
  <c r="G8" i="80"/>
  <c r="G7" i="80"/>
  <c r="G6" i="80"/>
  <c r="G5" i="80"/>
  <c r="G4" i="80"/>
  <c r="G3" i="80"/>
  <c r="G17" i="81"/>
  <c r="G16" i="81"/>
  <c r="G15" i="81"/>
  <c r="G14" i="81"/>
  <c r="G13" i="81"/>
  <c r="G12" i="81"/>
  <c r="G11" i="81"/>
  <c r="G10" i="81"/>
  <c r="G9" i="81"/>
  <c r="G8" i="81"/>
  <c r="G7" i="81"/>
  <c r="G6" i="81"/>
  <c r="G5" i="81"/>
  <c r="G4" i="81"/>
  <c r="G3" i="81"/>
  <c r="G37" i="82"/>
  <c r="G36" i="82"/>
  <c r="G35" i="82"/>
  <c r="G34" i="82"/>
  <c r="G33" i="82"/>
  <c r="G32" i="82"/>
  <c r="G31" i="82"/>
  <c r="G30" i="82"/>
  <c r="G29" i="82"/>
  <c r="G28" i="82"/>
  <c r="G27" i="82"/>
  <c r="G26" i="82"/>
  <c r="G25" i="82"/>
  <c r="G24" i="82"/>
  <c r="G23" i="82"/>
  <c r="G22" i="82"/>
  <c r="G21" i="82"/>
  <c r="G20" i="82"/>
  <c r="G19" i="82"/>
  <c r="G18" i="82"/>
  <c r="G17" i="82"/>
  <c r="G16" i="82"/>
  <c r="G15" i="82"/>
  <c r="G14" i="82"/>
  <c r="G13" i="82"/>
  <c r="G12" i="82"/>
  <c r="G11" i="82"/>
  <c r="G10" i="82"/>
  <c r="G9" i="82"/>
  <c r="G8" i="82"/>
  <c r="G7" i="82"/>
  <c r="G6" i="82"/>
  <c r="G5" i="82"/>
  <c r="G4" i="82"/>
  <c r="G3" i="82"/>
  <c r="G27" i="84"/>
  <c r="G26" i="84"/>
  <c r="G25" i="84"/>
  <c r="G24" i="84"/>
  <c r="G23" i="84"/>
  <c r="G22" i="84"/>
  <c r="G21" i="84"/>
  <c r="G20" i="84"/>
  <c r="G19" i="84"/>
  <c r="G18" i="84"/>
  <c r="G17" i="84"/>
  <c r="G16" i="84"/>
  <c r="G15" i="84"/>
  <c r="G14" i="84"/>
  <c r="G13" i="84"/>
  <c r="G12" i="84"/>
  <c r="G11" i="84"/>
  <c r="G10" i="84"/>
  <c r="G9" i="84"/>
  <c r="G8" i="84"/>
  <c r="G7" i="84"/>
  <c r="G6" i="84"/>
  <c r="G5" i="84"/>
  <c r="G4" i="84"/>
  <c r="G3" i="84"/>
  <c r="F5" i="97"/>
  <c r="F9" i="97"/>
  <c r="F13" i="97"/>
  <c r="F17" i="97"/>
  <c r="F21" i="97"/>
  <c r="F25" i="97"/>
  <c r="F29" i="97"/>
  <c r="F5" i="94"/>
  <c r="F9" i="94"/>
  <c r="F13" i="94"/>
  <c r="F17" i="94"/>
  <c r="F21" i="94"/>
  <c r="F4" i="93"/>
  <c r="F8" i="93"/>
  <c r="F12" i="93"/>
  <c r="F16" i="93"/>
  <c r="F20" i="93"/>
  <c r="F24" i="93"/>
  <c r="F28" i="93"/>
  <c r="F32" i="93"/>
  <c r="F36" i="93"/>
  <c r="F40" i="93"/>
  <c r="F5" i="91"/>
  <c r="F9" i="91"/>
  <c r="F13" i="91"/>
  <c r="F17" i="91"/>
  <c r="F21" i="91"/>
  <c r="F25" i="91"/>
  <c r="F29" i="91"/>
  <c r="F6" i="89"/>
  <c r="F10" i="89"/>
  <c r="F14" i="89"/>
  <c r="F18" i="89"/>
  <c r="F22" i="89"/>
  <c r="F26" i="89"/>
  <c r="F30" i="89"/>
  <c r="F34" i="89"/>
  <c r="F38" i="89"/>
  <c r="F42" i="89"/>
  <c r="F46" i="89"/>
  <c r="F50" i="89"/>
  <c r="F54" i="89"/>
  <c r="F3" i="88"/>
  <c r="F7" i="88"/>
  <c r="F11" i="88"/>
  <c r="F15" i="88"/>
  <c r="F19" i="88"/>
  <c r="F23" i="88"/>
  <c r="F27" i="88"/>
  <c r="F4" i="87"/>
  <c r="F8" i="87"/>
  <c r="F12" i="87"/>
  <c r="F16" i="87"/>
  <c r="F20" i="87"/>
  <c r="F24" i="87"/>
  <c r="F28" i="87"/>
  <c r="F32" i="87"/>
  <c r="F36" i="87"/>
  <c r="F40" i="87"/>
  <c r="F44" i="87"/>
  <c r="F48" i="87"/>
  <c r="F52" i="87"/>
  <c r="F56" i="87"/>
  <c r="F60" i="87"/>
  <c r="F64" i="87"/>
  <c r="F68" i="87"/>
  <c r="F72" i="87"/>
  <c r="F76" i="87"/>
  <c r="F5" i="86"/>
  <c r="F9" i="86"/>
  <c r="F13" i="86"/>
  <c r="F17" i="86"/>
  <c r="F21" i="86"/>
  <c r="F25" i="86"/>
  <c r="F29" i="86"/>
  <c r="F33" i="86"/>
  <c r="F37" i="86"/>
  <c r="F41" i="86"/>
  <c r="F45" i="86"/>
  <c r="F49" i="86"/>
  <c r="F53" i="86"/>
  <c r="F6" i="85"/>
  <c r="F10" i="85"/>
  <c r="F14" i="85"/>
  <c r="F18" i="85"/>
  <c r="F6" i="97"/>
  <c r="F10" i="97"/>
  <c r="F14" i="97"/>
  <c r="F18" i="97"/>
  <c r="F22" i="97"/>
  <c r="F26" i="97"/>
  <c r="F30" i="97"/>
  <c r="F6" i="94"/>
  <c r="F10" i="94"/>
  <c r="F14" i="94"/>
  <c r="F18" i="94"/>
  <c r="F22" i="94"/>
  <c r="F5" i="93"/>
  <c r="F9" i="93"/>
  <c r="F13" i="93"/>
  <c r="F17" i="93"/>
  <c r="F21" i="93"/>
  <c r="F25" i="93"/>
  <c r="F29" i="93"/>
  <c r="F33" i="93"/>
  <c r="F37" i="93"/>
  <c r="F41" i="93"/>
  <c r="F6" i="91"/>
  <c r="F10" i="91"/>
  <c r="F14" i="91"/>
  <c r="F18" i="91"/>
  <c r="F22" i="91"/>
  <c r="F26" i="91"/>
  <c r="F3" i="89"/>
  <c r="F7" i="89"/>
  <c r="F11" i="89"/>
  <c r="F15" i="89"/>
  <c r="F19" i="89"/>
  <c r="F23" i="89"/>
  <c r="F27" i="89"/>
  <c r="F31" i="89"/>
  <c r="F35" i="89"/>
  <c r="F39" i="89"/>
  <c r="F43" i="89"/>
  <c r="F47" i="89"/>
  <c r="F51" i="89"/>
  <c r="F55" i="89"/>
  <c r="F4" i="88"/>
  <c r="F8" i="88"/>
  <c r="F12" i="88"/>
  <c r="F16" i="88"/>
  <c r="F20" i="88"/>
  <c r="F24" i="88"/>
  <c r="F28" i="88"/>
  <c r="F5" i="87"/>
  <c r="F9" i="87"/>
  <c r="F13" i="87"/>
  <c r="F17" i="87"/>
  <c r="F21" i="87"/>
  <c r="F25" i="87"/>
  <c r="F29" i="87"/>
  <c r="F33" i="87"/>
  <c r="F37" i="87"/>
  <c r="F41" i="87"/>
  <c r="F45" i="87"/>
  <c r="F49" i="87"/>
  <c r="F53" i="87"/>
  <c r="F57" i="87"/>
  <c r="F61" i="87"/>
  <c r="F65" i="87"/>
  <c r="F69" i="87"/>
  <c r="F73" i="87"/>
  <c r="F77" i="87"/>
  <c r="F6" i="86"/>
  <c r="F10" i="86"/>
  <c r="F14" i="86"/>
  <c r="F18" i="86"/>
  <c r="F22" i="86"/>
  <c r="F26" i="86"/>
  <c r="F30" i="86"/>
  <c r="F34" i="86"/>
  <c r="F38" i="86"/>
  <c r="F42" i="86"/>
  <c r="F46" i="86"/>
  <c r="F50" i="86"/>
  <c r="F3" i="85"/>
  <c r="F7" i="85"/>
  <c r="F11" i="85"/>
  <c r="F15" i="85"/>
  <c r="F7" i="97"/>
  <c r="F15" i="97"/>
  <c r="F23" i="97"/>
  <c r="F3" i="94"/>
  <c r="F11" i="94"/>
  <c r="F19" i="94"/>
  <c r="F6" i="93"/>
  <c r="F14" i="93"/>
  <c r="F22" i="93"/>
  <c r="F30" i="93"/>
  <c r="F38" i="93"/>
  <c r="F7" i="91"/>
  <c r="F15" i="91"/>
  <c r="F23" i="91"/>
  <c r="F4" i="89"/>
  <c r="F12" i="89"/>
  <c r="F20" i="89"/>
  <c r="F28" i="89"/>
  <c r="F36" i="89"/>
  <c r="F44" i="89"/>
  <c r="F52" i="89"/>
  <c r="F5" i="88"/>
  <c r="F13" i="88"/>
  <c r="F21" i="88"/>
  <c r="F29" i="88"/>
  <c r="F10" i="87"/>
  <c r="F18" i="87"/>
  <c r="F26" i="87"/>
  <c r="F34" i="87"/>
  <c r="F42" i="87"/>
  <c r="F50" i="87"/>
  <c r="F58" i="87"/>
  <c r="F66" i="87"/>
  <c r="F74" i="87"/>
  <c r="F7" i="86"/>
  <c r="F15" i="86"/>
  <c r="F23" i="86"/>
  <c r="F31" i="86"/>
  <c r="F39" i="86"/>
  <c r="F47" i="86"/>
  <c r="F4" i="85"/>
  <c r="F12" i="85"/>
  <c r="F19" i="85"/>
  <c r="F23" i="85"/>
  <c r="F27" i="85"/>
  <c r="F31" i="85"/>
  <c r="F35" i="85"/>
  <c r="F39" i="85"/>
  <c r="F43" i="85"/>
  <c r="F47" i="85"/>
  <c r="F51" i="85"/>
  <c r="F55" i="85"/>
  <c r="F59" i="85"/>
  <c r="F63" i="85"/>
  <c r="F67" i="85"/>
  <c r="F71" i="85"/>
  <c r="F75" i="85"/>
  <c r="F79" i="85"/>
  <c r="F83" i="85"/>
  <c r="F87" i="85"/>
  <c r="F91" i="85"/>
  <c r="F95" i="85"/>
  <c r="F99" i="85"/>
  <c r="F103" i="85"/>
  <c r="F107" i="85"/>
  <c r="F6" i="84"/>
  <c r="F10" i="84"/>
  <c r="F14" i="84"/>
  <c r="F18" i="84"/>
  <c r="F22" i="84"/>
  <c r="F26" i="84"/>
  <c r="F5" i="82"/>
  <c r="F9" i="82"/>
  <c r="F13" i="82"/>
  <c r="F17" i="82"/>
  <c r="F21" i="82"/>
  <c r="F25" i="82"/>
  <c r="F29" i="82"/>
  <c r="F33" i="82"/>
  <c r="F37" i="82"/>
  <c r="F6" i="81"/>
  <c r="F10" i="81"/>
  <c r="F14" i="81"/>
  <c r="F3" i="80"/>
  <c r="F8" i="97"/>
  <c r="F16" i="97"/>
  <c r="F24" i="97"/>
  <c r="F4" i="94"/>
  <c r="F12" i="94"/>
  <c r="F20" i="94"/>
  <c r="F7" i="93"/>
  <c r="F15" i="93"/>
  <c r="F23" i="93"/>
  <c r="F31" i="93"/>
  <c r="F39" i="93"/>
  <c r="F8" i="91"/>
  <c r="F16" i="91"/>
  <c r="F24" i="91"/>
  <c r="F5" i="89"/>
  <c r="F13" i="89"/>
  <c r="F21" i="89"/>
  <c r="F29" i="89"/>
  <c r="F37" i="89"/>
  <c r="F45" i="89"/>
  <c r="F53" i="89"/>
  <c r="F6" i="88"/>
  <c r="F14" i="88"/>
  <c r="F22" i="88"/>
  <c r="F3" i="87"/>
  <c r="F11" i="87"/>
  <c r="F19" i="87"/>
  <c r="F27" i="87"/>
  <c r="F35" i="87"/>
  <c r="F43" i="87"/>
  <c r="F51" i="87"/>
  <c r="F59" i="87"/>
  <c r="F67" i="87"/>
  <c r="F75" i="87"/>
  <c r="F8" i="86"/>
  <c r="F16" i="86"/>
  <c r="F24" i="86"/>
  <c r="F32" i="86"/>
  <c r="F40" i="86"/>
  <c r="F48" i="86"/>
  <c r="F5" i="85"/>
  <c r="F13" i="85"/>
  <c r="F20" i="85"/>
  <c r="F24" i="85"/>
  <c r="F28" i="85"/>
  <c r="F32" i="85"/>
  <c r="F36" i="85"/>
  <c r="F40" i="85"/>
  <c r="F44" i="85"/>
  <c r="F48" i="85"/>
  <c r="F52" i="85"/>
  <c r="F56" i="85"/>
  <c r="F60" i="85"/>
  <c r="F64" i="85"/>
  <c r="F68" i="85"/>
  <c r="F72" i="85"/>
  <c r="F76" i="85"/>
  <c r="F80" i="85"/>
  <c r="F84" i="85"/>
  <c r="F88" i="85"/>
  <c r="F92" i="85"/>
  <c r="F96" i="85"/>
  <c r="F100" i="85"/>
  <c r="F104" i="85"/>
  <c r="F108" i="85"/>
  <c r="F3" i="84"/>
  <c r="F7" i="84"/>
  <c r="F11" i="84"/>
  <c r="F15" i="84"/>
  <c r="F19" i="84"/>
  <c r="F23" i="84"/>
  <c r="F27" i="84"/>
  <c r="F6" i="82"/>
  <c r="F10" i="82"/>
  <c r="F14" i="82"/>
  <c r="F18" i="82"/>
  <c r="F22" i="82"/>
  <c r="F26" i="82"/>
  <c r="F30" i="82"/>
  <c r="F34" i="82"/>
  <c r="F3" i="81"/>
  <c r="F7" i="81"/>
  <c r="F11" i="81"/>
  <c r="F15" i="81"/>
  <c r="F4" i="80"/>
  <c r="F2" i="71"/>
  <c r="F4" i="71"/>
  <c r="F2" i="97"/>
  <c r="F2" i="85"/>
  <c r="F2" i="79"/>
  <c r="F2" i="77"/>
  <c r="F2" i="73"/>
  <c r="F16" i="72"/>
  <c r="F12" i="72"/>
  <c r="F4" i="72"/>
  <c r="F15" i="74"/>
  <c r="F7" i="74"/>
  <c r="F18" i="76"/>
  <c r="F14" i="76"/>
  <c r="F10" i="76"/>
  <c r="F9" i="77"/>
  <c r="F14" i="78"/>
  <c r="F10" i="78"/>
  <c r="F19" i="80"/>
  <c r="F15" i="80"/>
  <c r="F7" i="80"/>
  <c r="F16" i="81"/>
  <c r="F27" i="82"/>
  <c r="F11" i="82"/>
  <c r="F4" i="84"/>
  <c r="F106" i="85"/>
  <c r="F74" i="85"/>
  <c r="F66" i="85"/>
  <c r="F50" i="85"/>
  <c r="F42" i="85"/>
  <c r="F34" i="85"/>
  <c r="F26" i="85"/>
  <c r="F17" i="85"/>
  <c r="F4" i="86"/>
  <c r="F63" i="87"/>
  <c r="F47" i="87"/>
  <c r="F15" i="87"/>
  <c r="F10" i="88"/>
  <c r="F49" i="89"/>
  <c r="F33" i="89"/>
  <c r="F17" i="89"/>
  <c r="F28" i="91"/>
  <c r="F12" i="91"/>
  <c r="F35" i="93"/>
  <c r="F8" i="94"/>
  <c r="F20" i="97"/>
  <c r="F9" i="71"/>
  <c r="F5" i="71"/>
  <c r="F2" i="96"/>
  <c r="F2" i="83"/>
  <c r="F3" i="72"/>
  <c r="F14" i="74"/>
  <c r="F10" i="74"/>
  <c r="F17" i="76"/>
  <c r="F13" i="76"/>
  <c r="F5" i="76"/>
  <c r="F4" i="77"/>
  <c r="F13" i="78"/>
  <c r="F9" i="78"/>
  <c r="F10" i="80"/>
  <c r="F5" i="81"/>
  <c r="F17" i="84"/>
  <c r="F105" i="85"/>
  <c r="F97" i="85"/>
  <c r="F89" i="85"/>
  <c r="F73" i="85"/>
  <c r="F41" i="85"/>
  <c r="F16" i="85"/>
  <c r="F51" i="86"/>
  <c r="F35" i="86"/>
  <c r="F3" i="86"/>
  <c r="F46" i="87"/>
  <c r="F14" i="87"/>
  <c r="F25" i="88"/>
  <c r="F9" i="88"/>
  <c r="F32" i="89"/>
  <c r="F11" i="91"/>
  <c r="F18" i="93"/>
  <c r="F23" i="94"/>
  <c r="F19" i="97"/>
  <c r="F10" i="71"/>
  <c r="F6" i="71"/>
  <c r="F2" i="72"/>
  <c r="F2" i="95"/>
  <c r="F2" i="91"/>
  <c r="F2" i="87"/>
  <c r="F2" i="84"/>
  <c r="F2" i="80"/>
  <c r="F2" i="75"/>
  <c r="F18" i="72"/>
  <c r="F14" i="72"/>
  <c r="F10" i="72"/>
  <c r="F6" i="72"/>
  <c r="F21" i="74"/>
  <c r="F17" i="74"/>
  <c r="F13" i="74"/>
  <c r="F9" i="74"/>
  <c r="F5" i="74"/>
  <c r="F20" i="76"/>
  <c r="F16" i="76"/>
  <c r="F12" i="76"/>
  <c r="F8" i="76"/>
  <c r="F4" i="76"/>
  <c r="F11" i="77"/>
  <c r="F7" i="77"/>
  <c r="F3" i="77"/>
  <c r="F12" i="78"/>
  <c r="F8" i="78"/>
  <c r="F4" i="78"/>
  <c r="F17" i="80"/>
  <c r="F13" i="80"/>
  <c r="F9" i="80"/>
  <c r="F5" i="80"/>
  <c r="F12" i="81"/>
  <c r="F4" i="81"/>
  <c r="F31" i="82"/>
  <c r="F23" i="82"/>
  <c r="F15" i="82"/>
  <c r="F7" i="82"/>
  <c r="F24" i="84"/>
  <c r="F16" i="84"/>
  <c r="F8" i="84"/>
  <c r="F102" i="85"/>
  <c r="F94" i="85"/>
  <c r="F86" i="85"/>
  <c r="F78" i="85"/>
  <c r="F70" i="85"/>
  <c r="F62" i="85"/>
  <c r="F54" i="85"/>
  <c r="F46" i="85"/>
  <c r="F38" i="85"/>
  <c r="F30" i="85"/>
  <c r="F22" i="85"/>
  <c r="F9" i="85"/>
  <c r="F44" i="86"/>
  <c r="F28" i="86"/>
  <c r="F12" i="86"/>
  <c r="F71" i="87"/>
  <c r="F55" i="87"/>
  <c r="F39" i="87"/>
  <c r="F23" i="87"/>
  <c r="F7" i="87"/>
  <c r="F18" i="88"/>
  <c r="F57" i="89"/>
  <c r="F41" i="89"/>
  <c r="F25" i="89"/>
  <c r="F9" i="89"/>
  <c r="F20" i="91"/>
  <c r="F4" i="91"/>
  <c r="F27" i="93"/>
  <c r="F11" i="93"/>
  <c r="F16" i="94"/>
  <c r="F28" i="97"/>
  <c r="F12" i="97"/>
  <c r="F8" i="71"/>
  <c r="F2" i="93"/>
  <c r="F2" i="89"/>
  <c r="F20" i="72"/>
  <c r="F8" i="72"/>
  <c r="F19" i="74"/>
  <c r="F11" i="74"/>
  <c r="F3" i="74"/>
  <c r="F6" i="76"/>
  <c r="F13" i="77"/>
  <c r="F5" i="77"/>
  <c r="F6" i="78"/>
  <c r="F11" i="80"/>
  <c r="F8" i="81"/>
  <c r="F35" i="82"/>
  <c r="F19" i="82"/>
  <c r="F3" i="82"/>
  <c r="F20" i="84"/>
  <c r="F12" i="84"/>
  <c r="F98" i="85"/>
  <c r="F90" i="85"/>
  <c r="F82" i="85"/>
  <c r="F58" i="85"/>
  <c r="F52" i="86"/>
  <c r="F36" i="86"/>
  <c r="F20" i="86"/>
  <c r="F31" i="87"/>
  <c r="F26" i="88"/>
  <c r="F19" i="93"/>
  <c r="F3" i="93"/>
  <c r="F4" i="97"/>
  <c r="F2" i="92"/>
  <c r="F2" i="88"/>
  <c r="F2" i="81"/>
  <c r="F2" i="76"/>
  <c r="F19" i="72"/>
  <c r="F15" i="72"/>
  <c r="F11" i="72"/>
  <c r="F7" i="72"/>
  <c r="F18" i="74"/>
  <c r="F6" i="74"/>
  <c r="F21" i="76"/>
  <c r="F9" i="76"/>
  <c r="F12" i="77"/>
  <c r="F8" i="77"/>
  <c r="F5" i="78"/>
  <c r="F18" i="80"/>
  <c r="F14" i="80"/>
  <c r="F6" i="80"/>
  <c r="F13" i="81"/>
  <c r="F32" i="82"/>
  <c r="F24" i="82"/>
  <c r="F16" i="82"/>
  <c r="F8" i="82"/>
  <c r="F25" i="84"/>
  <c r="F9" i="84"/>
  <c r="F81" i="85"/>
  <c r="F65" i="85"/>
  <c r="F57" i="85"/>
  <c r="F49" i="85"/>
  <c r="F33" i="85"/>
  <c r="F25" i="85"/>
  <c r="F19" i="86"/>
  <c r="F62" i="87"/>
  <c r="F30" i="87"/>
  <c r="F48" i="89"/>
  <c r="F16" i="89"/>
  <c r="F27" i="91"/>
  <c r="F34" i="93"/>
  <c r="F7" i="94"/>
  <c r="F3" i="97"/>
  <c r="F11" i="71"/>
  <c r="F7" i="71"/>
  <c r="F3" i="71"/>
  <c r="F2" i="98"/>
  <c r="F2" i="94"/>
  <c r="F2" i="90"/>
  <c r="F2" i="86"/>
  <c r="F2" i="82"/>
  <c r="F2" i="78"/>
  <c r="F2" i="74"/>
  <c r="F21" i="72"/>
  <c r="F17" i="72"/>
  <c r="F13" i="72"/>
  <c r="F9" i="72"/>
  <c r="F5" i="72"/>
  <c r="F20" i="74"/>
  <c r="F16" i="74"/>
  <c r="F12" i="74"/>
  <c r="F8" i="74"/>
  <c r="F4" i="74"/>
  <c r="F19" i="76"/>
  <c r="F15" i="76"/>
  <c r="F11" i="76"/>
  <c r="F7" i="76"/>
  <c r="F3" i="76"/>
  <c r="F10" i="77"/>
  <c r="F6" i="77"/>
  <c r="F15" i="78"/>
  <c r="F11" i="78"/>
  <c r="F7" i="78"/>
  <c r="F3" i="78"/>
  <c r="F16" i="80"/>
  <c r="F12" i="80"/>
  <c r="F8" i="80"/>
  <c r="F17" i="81"/>
  <c r="F9" i="81"/>
  <c r="F36" i="82"/>
  <c r="F28" i="82"/>
  <c r="F20" i="82"/>
  <c r="F12" i="82"/>
  <c r="F4" i="82"/>
  <c r="F21" i="84"/>
  <c r="F13" i="84"/>
  <c r="F5" i="84"/>
  <c r="F109" i="85"/>
  <c r="F101" i="85"/>
  <c r="F93" i="85"/>
  <c r="F85" i="85"/>
  <c r="F77" i="85"/>
  <c r="F69" i="85"/>
  <c r="F61" i="85"/>
  <c r="F53" i="85"/>
  <c r="F45" i="85"/>
  <c r="F37" i="85"/>
  <c r="F29" i="85"/>
  <c r="F21" i="85"/>
  <c r="F8" i="85"/>
  <c r="F43" i="86"/>
  <c r="F27" i="86"/>
  <c r="F11" i="86"/>
  <c r="F70" i="87"/>
  <c r="F54" i="87"/>
  <c r="F38" i="87"/>
  <c r="F22" i="87"/>
  <c r="F6" i="87"/>
  <c r="F17" i="88"/>
  <c r="F56" i="89"/>
  <c r="F40" i="89"/>
  <c r="F24" i="89"/>
  <c r="F8" i="89"/>
  <c r="F19" i="91"/>
  <c r="F3" i="91"/>
  <c r="F26" i="93"/>
  <c r="F10" i="93"/>
  <c r="F15" i="94"/>
  <c r="F27" i="97"/>
  <c r="F11" i="97"/>
  <c r="AB14" i="88"/>
  <c r="AA14" i="88"/>
  <c r="AC14" i="88"/>
  <c r="Y14" i="88"/>
  <c r="Y15" i="88"/>
  <c r="Y20" i="88"/>
  <c r="S21" i="88"/>
  <c r="Z14" i="88"/>
  <c r="AB15" i="88"/>
  <c r="AB20" i="88"/>
  <c r="V21" i="88"/>
  <c r="AC10" i="88"/>
  <c r="N2" i="70"/>
  <c r="N11" i="94"/>
  <c r="N34" i="85"/>
  <c r="N40" i="87"/>
  <c r="N41" i="93"/>
  <c r="N104" i="85"/>
  <c r="N83" i="85"/>
  <c r="N6" i="84"/>
  <c r="N9" i="76"/>
  <c r="N52" i="89"/>
  <c r="N18" i="76"/>
  <c r="N2" i="90"/>
  <c r="N8" i="80"/>
  <c r="N47" i="87"/>
  <c r="N28" i="93"/>
  <c r="AA15" i="88"/>
  <c r="AA20" i="88"/>
  <c r="U21" i="88"/>
  <c r="N8" i="76"/>
  <c r="N27" i="85"/>
  <c r="N43" i="87"/>
  <c r="N14" i="86"/>
  <c r="N2" i="73"/>
  <c r="N27" i="84"/>
  <c r="N22" i="91"/>
  <c r="Z15" i="88"/>
  <c r="Z20" i="88"/>
  <c r="T21" i="88"/>
  <c r="N35" i="93"/>
  <c r="N29" i="86"/>
  <c r="N66" i="85"/>
  <c r="N37" i="82"/>
  <c r="N22" i="94"/>
  <c r="N16" i="85"/>
  <c r="N11" i="82"/>
  <c r="N4" i="72"/>
  <c r="N2" i="72"/>
  <c r="N53" i="87"/>
  <c r="N20" i="74"/>
  <c r="N6" i="77"/>
  <c r="N9" i="81"/>
  <c r="N19" i="84"/>
  <c r="N71" i="85"/>
  <c r="N7" i="85"/>
  <c r="N15" i="87"/>
  <c r="N30" i="97"/>
  <c r="N29" i="88"/>
  <c r="N36" i="89"/>
  <c r="N4" i="93"/>
  <c r="N33" i="89"/>
  <c r="N37" i="86"/>
  <c r="N74" i="85"/>
  <c r="N10" i="81"/>
  <c r="N31" i="89"/>
  <c r="N40" i="85"/>
  <c r="N35" i="82"/>
  <c r="N10" i="72"/>
  <c r="N2" i="93"/>
  <c r="N21" i="87"/>
  <c r="N12" i="74"/>
  <c r="N11" i="78"/>
  <c r="N36" i="82"/>
  <c r="N5" i="84"/>
  <c r="N49" i="85"/>
  <c r="N50" i="86"/>
  <c r="N41" i="89"/>
  <c r="N5" i="86"/>
  <c r="N13" i="88"/>
  <c r="N12" i="89"/>
  <c r="AD27" i="88"/>
  <c r="N27" i="87"/>
  <c r="N18" i="85"/>
  <c r="N106" i="85"/>
  <c r="N10" i="76"/>
  <c r="N41" i="87"/>
  <c r="N80" i="85"/>
  <c r="N8" i="78"/>
  <c r="N20" i="72"/>
  <c r="N2" i="79"/>
  <c r="N39" i="89"/>
  <c r="N17" i="76"/>
  <c r="N16" i="80"/>
  <c r="N22" i="82"/>
  <c r="N91" i="85"/>
  <c r="N41" i="85"/>
  <c r="N36" i="86"/>
  <c r="N35" i="89"/>
  <c r="N66" i="87"/>
  <c r="N21" i="89"/>
  <c r="N5" i="91"/>
  <c r="N76" i="85"/>
  <c r="W21" i="88"/>
  <c r="AA21" i="88"/>
  <c r="AA22" i="88"/>
  <c r="N14" i="82"/>
  <c r="N105" i="85"/>
  <c r="N63" i="85"/>
  <c r="N19" i="85"/>
  <c r="N28" i="86"/>
  <c r="N4" i="91"/>
  <c r="N25" i="86"/>
  <c r="N26" i="87"/>
  <c r="N31" i="93"/>
  <c r="N25" i="91"/>
  <c r="N8" i="94"/>
  <c r="N13" i="80"/>
  <c r="N54" i="85"/>
  <c r="N25" i="82"/>
  <c r="N12" i="78"/>
  <c r="N15" i="74"/>
  <c r="N12" i="85"/>
  <c r="N5" i="97"/>
  <c r="N3" i="94"/>
  <c r="N17" i="94"/>
  <c r="N12" i="93"/>
  <c r="N24" i="93"/>
  <c r="N38" i="93"/>
  <c r="N15" i="91"/>
  <c r="N29" i="91"/>
  <c r="N14" i="89"/>
  <c r="N30" i="89"/>
  <c r="N44" i="89"/>
  <c r="N8" i="97"/>
  <c r="N23" i="93"/>
  <c r="N5" i="89"/>
  <c r="N3" i="88"/>
  <c r="N19" i="88"/>
  <c r="N6" i="87"/>
  <c r="N18" i="87"/>
  <c r="N34" i="87"/>
  <c r="N48" i="87"/>
  <c r="N62" i="87"/>
  <c r="N3" i="86"/>
  <c r="N15" i="86"/>
  <c r="N27" i="86"/>
  <c r="N18" i="94"/>
  <c r="N37" i="93"/>
  <c r="N11" i="89"/>
  <c r="N12" i="97"/>
  <c r="N27" i="93"/>
  <c r="N25" i="89"/>
  <c r="N18" i="88"/>
  <c r="N23" i="87"/>
  <c r="N55" i="87"/>
  <c r="N12" i="86"/>
  <c r="N32" i="86"/>
  <c r="N40" i="86"/>
  <c r="N48" i="86"/>
  <c r="N5" i="85"/>
  <c r="N13" i="85"/>
  <c r="N21" i="85"/>
  <c r="N29" i="85"/>
  <c r="N37" i="85"/>
  <c r="N45" i="85"/>
  <c r="N53" i="85"/>
  <c r="N61" i="85"/>
  <c r="N69" i="85"/>
  <c r="N77" i="85"/>
  <c r="N85" i="85"/>
  <c r="N93" i="85"/>
  <c r="N101" i="85"/>
  <c r="N109" i="85"/>
  <c r="N9" i="84"/>
  <c r="N17" i="84"/>
  <c r="N25" i="84"/>
  <c r="N8" i="82"/>
  <c r="N16" i="82"/>
  <c r="N24" i="82"/>
  <c r="N32" i="82"/>
  <c r="N5" i="81"/>
  <c r="N13" i="81"/>
  <c r="N6" i="80"/>
  <c r="N14" i="80"/>
  <c r="N5" i="78"/>
  <c r="N13" i="78"/>
  <c r="N8" i="77"/>
  <c r="N5" i="76"/>
  <c r="N13" i="76"/>
  <c r="N21" i="76"/>
  <c r="N10" i="74"/>
  <c r="N18" i="74"/>
  <c r="N14" i="94"/>
  <c r="N18" i="91"/>
  <c r="N55" i="89"/>
  <c r="N5" i="87"/>
  <c r="N37" i="87"/>
  <c r="N69" i="87"/>
  <c r="N26" i="86"/>
  <c r="N2" i="80"/>
  <c r="N2" i="87"/>
  <c r="N33" i="86"/>
  <c r="N28" i="88"/>
  <c r="N49" i="87"/>
  <c r="N2" i="83"/>
  <c r="N67" i="87"/>
  <c r="N21" i="97"/>
  <c r="N13" i="94"/>
  <c r="N14" i="93"/>
  <c r="N32" i="93"/>
  <c r="N9" i="91"/>
  <c r="N4" i="89"/>
  <c r="N22" i="89"/>
  <c r="N42" i="89"/>
  <c r="N24" i="97"/>
  <c r="N39" i="93"/>
  <c r="N53" i="89"/>
  <c r="N21" i="88"/>
  <c r="N14" i="87"/>
  <c r="N30" i="87"/>
  <c r="N50" i="87"/>
  <c r="N70" i="87"/>
  <c r="N13" i="86"/>
  <c r="N14" i="97"/>
  <c r="N13" i="93"/>
  <c r="N3" i="89"/>
  <c r="N28" i="97"/>
  <c r="N20" i="91"/>
  <c r="N10" i="88"/>
  <c r="N31" i="87"/>
  <c r="N71" i="87"/>
  <c r="N30" i="86"/>
  <c r="N42" i="86"/>
  <c r="N52" i="86"/>
  <c r="N11" i="85"/>
  <c r="N23" i="85"/>
  <c r="N33" i="85"/>
  <c r="N43" i="85"/>
  <c r="N55" i="85"/>
  <c r="N65" i="85"/>
  <c r="N75" i="85"/>
  <c r="N87" i="85"/>
  <c r="N97" i="85"/>
  <c r="N107" i="85"/>
  <c r="N11" i="84"/>
  <c r="N21" i="84"/>
  <c r="N6" i="82"/>
  <c r="N18" i="82"/>
  <c r="N28" i="82"/>
  <c r="N3" i="81"/>
  <c r="N15" i="81"/>
  <c r="N10" i="80"/>
  <c r="N3" i="78"/>
  <c r="N15" i="78"/>
  <c r="N12" i="77"/>
  <c r="N11" i="76"/>
  <c r="N4" i="74"/>
  <c r="N14" i="74"/>
  <c r="N26" i="97"/>
  <c r="N7" i="89"/>
  <c r="N16" i="88"/>
  <c r="N29" i="87"/>
  <c r="N77" i="87"/>
  <c r="N2" i="75"/>
  <c r="N2" i="85"/>
  <c r="N2" i="95"/>
  <c r="N9" i="71"/>
  <c r="N2" i="82"/>
  <c r="N16" i="72"/>
  <c r="N8" i="72"/>
  <c r="N13" i="74"/>
  <c r="N11" i="77"/>
  <c r="N9" i="80"/>
  <c r="N27" i="82"/>
  <c r="N20" i="84"/>
  <c r="N96" i="85"/>
  <c r="N64" i="85"/>
  <c r="N32" i="85"/>
  <c r="N51" i="86"/>
  <c r="N73" i="87"/>
  <c r="N9" i="87"/>
  <c r="N26" i="91"/>
  <c r="N13" i="77"/>
  <c r="N11" i="80"/>
  <c r="N29" i="82"/>
  <c r="N22" i="84"/>
  <c r="N19" i="87"/>
  <c r="N2" i="92"/>
  <c r="N2" i="94"/>
  <c r="N4" i="78"/>
  <c r="N12" i="91"/>
  <c r="N29" i="97"/>
  <c r="N21" i="94"/>
  <c r="N16" i="93"/>
  <c r="N36" i="93"/>
  <c r="N17" i="91"/>
  <c r="N10" i="89"/>
  <c r="N26" i="89"/>
  <c r="N46" i="89"/>
  <c r="N12" i="94"/>
  <c r="N24" i="91"/>
  <c r="N9" i="88"/>
  <c r="N25" i="88"/>
  <c r="N16" i="87"/>
  <c r="N38" i="87"/>
  <c r="N56" i="87"/>
  <c r="N72" i="87"/>
  <c r="N19" i="86"/>
  <c r="N22" i="97"/>
  <c r="N29" i="93"/>
  <c r="N27" i="89"/>
  <c r="N16" i="94"/>
  <c r="N9" i="89"/>
  <c r="N26" i="88"/>
  <c r="N39" i="87"/>
  <c r="N4" i="86"/>
  <c r="N34" i="86"/>
  <c r="N44" i="86"/>
  <c r="N3" i="85"/>
  <c r="N15" i="85"/>
  <c r="N25" i="85"/>
  <c r="N35" i="85"/>
  <c r="N47" i="85"/>
  <c r="N57" i="85"/>
  <c r="N67" i="85"/>
  <c r="N79" i="85"/>
  <c r="N89" i="85"/>
  <c r="N99" i="85"/>
  <c r="N3" i="84"/>
  <c r="N13" i="84"/>
  <c r="N23" i="84"/>
  <c r="N10" i="82"/>
  <c r="N20" i="82"/>
  <c r="N30" i="82"/>
  <c r="N7" i="81"/>
  <c r="N17" i="81"/>
  <c r="N12" i="80"/>
  <c r="N7" i="78"/>
  <c r="N4" i="77"/>
  <c r="N3" i="76"/>
  <c r="N15" i="76"/>
  <c r="N6" i="74"/>
  <c r="N16" i="74"/>
  <c r="N9" i="93"/>
  <c r="N23" i="89"/>
  <c r="N24" i="88"/>
  <c r="N45" i="87"/>
  <c r="N10" i="86"/>
  <c r="N2" i="77"/>
  <c r="N2" i="89"/>
  <c r="N2" i="97"/>
  <c r="N2" i="71"/>
  <c r="N2" i="74"/>
  <c r="N14" i="72"/>
  <c r="N6" i="72"/>
  <c r="N5" i="74"/>
  <c r="N3" i="77"/>
  <c r="N16" i="81"/>
  <c r="N19" i="82"/>
  <c r="N12" i="84"/>
  <c r="N88" i="85"/>
  <c r="N56" i="85"/>
  <c r="N24" i="85"/>
  <c r="N43" i="86"/>
  <c r="N57" i="87"/>
  <c r="N20" i="88"/>
  <c r="N33" i="93"/>
  <c r="N7" i="74"/>
  <c r="N5" i="77"/>
  <c r="N3" i="80"/>
  <c r="N21" i="82"/>
  <c r="N14" i="84"/>
  <c r="N90" i="85"/>
  <c r="N58" i="85"/>
  <c r="N26" i="85"/>
  <c r="N45" i="86"/>
  <c r="N75" i="87"/>
  <c r="N11" i="87"/>
  <c r="N28" i="91"/>
  <c r="N2" i="76"/>
  <c r="N9" i="72"/>
  <c r="N84" i="85"/>
  <c r="N7" i="82"/>
  <c r="N20" i="97"/>
  <c r="N6" i="88"/>
  <c r="N59" i="87"/>
  <c r="N53" i="86"/>
  <c r="N42" i="85"/>
  <c r="N82" i="85"/>
  <c r="N5" i="82"/>
  <c r="N19" i="80"/>
  <c r="N4" i="88"/>
  <c r="N35" i="86"/>
  <c r="N48" i="85"/>
  <c r="N4" i="84"/>
  <c r="N8" i="81"/>
  <c r="N16" i="76"/>
  <c r="N12" i="72"/>
  <c r="N2" i="98"/>
  <c r="N2" i="91"/>
  <c r="N18" i="86"/>
  <c r="N13" i="87"/>
  <c r="N25" i="93"/>
  <c r="N8" i="74"/>
  <c r="N7" i="76"/>
  <c r="N9" i="78"/>
  <c r="N4" i="80"/>
  <c r="N34" i="82"/>
  <c r="N12" i="82"/>
  <c r="N15" i="84"/>
  <c r="N103" i="85"/>
  <c r="N81" i="85"/>
  <c r="N59" i="85"/>
  <c r="N39" i="85"/>
  <c r="N17" i="85"/>
  <c r="N46" i="86"/>
  <c r="N20" i="86"/>
  <c r="N7" i="87"/>
  <c r="N11" i="93"/>
  <c r="N6" i="91"/>
  <c r="N23" i="86"/>
  <c r="N58" i="87"/>
  <c r="N24" i="87"/>
  <c r="N11" i="88"/>
  <c r="N20" i="94"/>
  <c r="N34" i="89"/>
  <c r="N21" i="91"/>
  <c r="N22" i="93"/>
  <c r="N5" i="94"/>
  <c r="N8" i="86"/>
  <c r="N3" i="93"/>
  <c r="N22" i="88"/>
  <c r="N16" i="86"/>
  <c r="N10" i="85"/>
  <c r="N50" i="85"/>
  <c r="N98" i="85"/>
  <c r="N13" i="82"/>
  <c r="N10" i="78"/>
  <c r="N18" i="97"/>
  <c r="N25" i="87"/>
  <c r="N8" i="85"/>
  <c r="N72" i="85"/>
  <c r="N3" i="82"/>
  <c r="N17" i="80"/>
  <c r="N21" i="74"/>
  <c r="N18" i="72"/>
  <c r="N5" i="71"/>
  <c r="N2" i="84"/>
  <c r="N61" i="87"/>
  <c r="N8" i="88"/>
  <c r="N10" i="97"/>
  <c r="N19" i="76"/>
  <c r="N10" i="77"/>
  <c r="N18" i="80"/>
  <c r="N11" i="81"/>
  <c r="N26" i="82"/>
  <c r="N4" i="82"/>
  <c r="N7" i="84"/>
  <c r="N95" i="85"/>
  <c r="N73" i="85"/>
  <c r="N51" i="85"/>
  <c r="N31" i="85"/>
  <c r="N9" i="85"/>
  <c r="N38" i="86"/>
  <c r="N63" i="87"/>
  <c r="N57" i="89"/>
  <c r="N43" i="89"/>
  <c r="N5" i="93"/>
  <c r="N7" i="86"/>
  <c r="N46" i="87"/>
  <c r="N8" i="87"/>
  <c r="N37" i="89"/>
  <c r="N54" i="89"/>
  <c r="N20" i="89"/>
  <c r="N7" i="91"/>
  <c r="N6" i="93"/>
  <c r="N13" i="97"/>
  <c r="N30" i="85"/>
  <c r="N14" i="81"/>
  <c r="N15" i="97"/>
  <c r="N24" i="86"/>
  <c r="N92" i="85"/>
  <c r="N7" i="77"/>
  <c r="N8" i="71"/>
  <c r="N24" i="84"/>
  <c r="N6" i="71"/>
  <c r="N78" i="85"/>
  <c r="N17" i="72"/>
  <c r="N33" i="87"/>
  <c r="N70" i="85"/>
  <c r="N15" i="80"/>
  <c r="N2" i="96"/>
  <c r="N51" i="87"/>
  <c r="N4" i="76"/>
  <c r="N46" i="85"/>
  <c r="N41" i="86"/>
  <c r="N10" i="84"/>
  <c r="N3" i="74"/>
  <c r="N10" i="71"/>
  <c r="N68" i="85"/>
  <c r="N19" i="72"/>
  <c r="N7" i="80"/>
  <c r="N51" i="89"/>
  <c r="N19" i="89"/>
  <c r="N14" i="91"/>
  <c r="N21" i="93"/>
  <c r="N10" i="94"/>
  <c r="N6" i="97"/>
  <c r="N21" i="86"/>
  <c r="N11" i="86"/>
  <c r="N74" i="87"/>
  <c r="N64" i="87"/>
  <c r="N54" i="87"/>
  <c r="N42" i="87"/>
  <c r="N32" i="87"/>
  <c r="N22" i="87"/>
  <c r="N10" i="87"/>
  <c r="N27" i="88"/>
  <c r="N17" i="88"/>
  <c r="N5" i="88"/>
  <c r="N29" i="89"/>
  <c r="N16" i="91"/>
  <c r="N7" i="93"/>
  <c r="N16" i="97"/>
  <c r="N50" i="89"/>
  <c r="N38" i="89"/>
  <c r="N28" i="89"/>
  <c r="N18" i="89"/>
  <c r="N6" i="89"/>
  <c r="N23" i="91"/>
  <c r="N13" i="91"/>
  <c r="N40" i="93"/>
  <c r="N30" i="93"/>
  <c r="N20" i="93"/>
  <c r="N8" i="93"/>
  <c r="N19" i="94"/>
  <c r="N9" i="94"/>
  <c r="N23" i="97"/>
  <c r="N7" i="97"/>
  <c r="N49" i="89"/>
  <c r="N28" i="85"/>
  <c r="N23" i="82"/>
  <c r="N7" i="72"/>
  <c r="N39" i="86"/>
  <c r="N19" i="74"/>
  <c r="N6" i="86"/>
  <c r="N6" i="81"/>
  <c r="N6" i="94"/>
  <c r="N6" i="85"/>
  <c r="N26" i="84"/>
  <c r="N5" i="72"/>
  <c r="N4" i="97"/>
  <c r="N100" i="85"/>
  <c r="N3" i="71"/>
  <c r="N9" i="77"/>
  <c r="N17" i="86"/>
  <c r="N9" i="86"/>
  <c r="N76" i="87"/>
  <c r="N68" i="87"/>
  <c r="N60" i="87"/>
  <c r="N52" i="87"/>
  <c r="N44" i="87"/>
  <c r="N36" i="87"/>
  <c r="N28" i="87"/>
  <c r="N20" i="87"/>
  <c r="N12" i="87"/>
  <c r="N4" i="87"/>
  <c r="N23" i="88"/>
  <c r="N15" i="88"/>
  <c r="N7" i="88"/>
  <c r="N45" i="89"/>
  <c r="N13" i="89"/>
  <c r="N8" i="91"/>
  <c r="N15" i="93"/>
  <c r="N4" i="94"/>
  <c r="N56" i="89"/>
  <c r="N48" i="89"/>
  <c r="N40" i="89"/>
  <c r="N32" i="89"/>
  <c r="N24" i="89"/>
  <c r="N16" i="89"/>
  <c r="N8" i="89"/>
  <c r="N27" i="91"/>
  <c r="N19" i="91"/>
  <c r="N11" i="91"/>
  <c r="N3" i="91"/>
  <c r="N34" i="93"/>
  <c r="N26" i="93"/>
  <c r="N18" i="93"/>
  <c r="N10" i="93"/>
  <c r="N23" i="94"/>
  <c r="N15" i="94"/>
  <c r="N7" i="94"/>
  <c r="N27" i="97"/>
  <c r="N19" i="97"/>
  <c r="N11" i="97"/>
  <c r="N3" i="97"/>
  <c r="N3" i="87"/>
  <c r="N31" i="86"/>
  <c r="N44" i="85"/>
  <c r="N108" i="85"/>
  <c r="N4" i="81"/>
  <c r="N12" i="76"/>
  <c r="N15" i="72"/>
  <c r="N11" i="71"/>
  <c r="N4" i="85"/>
  <c r="N31" i="82"/>
  <c r="N11" i="72"/>
  <c r="N15" i="89"/>
  <c r="N49" i="86"/>
  <c r="N18" i="84"/>
  <c r="N6" i="78"/>
  <c r="N2" i="81"/>
  <c r="N10" i="91"/>
  <c r="N65" i="87"/>
  <c r="N22" i="85"/>
  <c r="N86" i="85"/>
  <c r="N17" i="82"/>
  <c r="N14" i="78"/>
  <c r="N13" i="72"/>
  <c r="N4" i="71"/>
  <c r="N19" i="93"/>
  <c r="N20" i="85"/>
  <c r="N8" i="84"/>
  <c r="N20" i="76"/>
  <c r="N17" i="93"/>
  <c r="N62" i="85"/>
  <c r="N14" i="76"/>
  <c r="N25" i="97"/>
  <c r="N17" i="97"/>
  <c r="N9" i="97"/>
  <c r="N35" i="87"/>
  <c r="N47" i="86"/>
  <c r="N60" i="85"/>
  <c r="N16" i="84"/>
  <c r="N5" i="80"/>
  <c r="N9" i="74"/>
  <c r="N2" i="78"/>
  <c r="N17" i="89"/>
  <c r="N52" i="85"/>
  <c r="N12" i="81"/>
  <c r="N2" i="88"/>
  <c r="N17" i="87"/>
  <c r="N14" i="85"/>
  <c r="N9" i="82"/>
  <c r="N17" i="74"/>
  <c r="N2" i="86"/>
  <c r="N47" i="89"/>
  <c r="N22" i="86"/>
  <c r="N38" i="85"/>
  <c r="N102" i="85"/>
  <c r="N33" i="82"/>
  <c r="N6" i="76"/>
  <c r="N21" i="72"/>
  <c r="N7" i="71"/>
  <c r="N14" i="88"/>
  <c r="N36" i="85"/>
  <c r="N15" i="82"/>
  <c r="N3" i="72"/>
  <c r="N12" i="88"/>
  <c r="N94" i="85"/>
  <c r="N11" i="74"/>
  <c r="Y21" i="88"/>
  <c r="Y22" i="88"/>
  <c r="Z21" i="88"/>
  <c r="Z22" i="88"/>
  <c r="AB21" i="88"/>
  <c r="AB22" i="88"/>
  <c r="AD23" i="88"/>
  <c r="O2" i="70"/>
  <c r="AC21" i="88"/>
  <c r="AC22" i="88"/>
  <c r="AD28" i="88"/>
  <c r="AD24" i="88"/>
  <c r="P2" i="70"/>
  <c r="O3" i="97"/>
  <c r="O7" i="97"/>
  <c r="O11" i="97"/>
  <c r="O15" i="97"/>
  <c r="O19" i="97"/>
  <c r="O23" i="97"/>
  <c r="O27" i="97"/>
  <c r="O3" i="94"/>
  <c r="O7" i="94"/>
  <c r="O11" i="94"/>
  <c r="O15" i="94"/>
  <c r="O19" i="94"/>
  <c r="O23" i="94"/>
  <c r="O6" i="93"/>
  <c r="O10" i="93"/>
  <c r="O14" i="93"/>
  <c r="O18" i="93"/>
  <c r="O22" i="93"/>
  <c r="O26" i="93"/>
  <c r="O30" i="93"/>
  <c r="O34" i="93"/>
  <c r="O38" i="93"/>
  <c r="O3" i="91"/>
  <c r="O7" i="91"/>
  <c r="O11" i="91"/>
  <c r="O15" i="91"/>
  <c r="O19" i="91"/>
  <c r="O23" i="91"/>
  <c r="O27" i="91"/>
  <c r="O4" i="89"/>
  <c r="O8" i="89"/>
  <c r="O12" i="89"/>
  <c r="O16" i="89"/>
  <c r="O20" i="89"/>
  <c r="O24" i="89"/>
  <c r="O28" i="89"/>
  <c r="O32" i="89"/>
  <c r="O36" i="89"/>
  <c r="O40" i="89"/>
  <c r="O44" i="89"/>
  <c r="O48" i="89"/>
  <c r="O52" i="89"/>
  <c r="O56" i="89"/>
  <c r="O5" i="88"/>
  <c r="O9" i="88"/>
  <c r="O13" i="88"/>
  <c r="O17" i="88"/>
  <c r="O21" i="88"/>
  <c r="O25" i="88"/>
  <c r="O29" i="88"/>
  <c r="O6" i="87"/>
  <c r="O10" i="87"/>
  <c r="O14" i="87"/>
  <c r="O18" i="87"/>
  <c r="O22" i="87"/>
  <c r="O26" i="87"/>
  <c r="O30" i="87"/>
  <c r="O34" i="87"/>
  <c r="O38" i="87"/>
  <c r="O42" i="87"/>
  <c r="O46" i="87"/>
  <c r="O50" i="87"/>
  <c r="O54" i="87"/>
  <c r="O58" i="87"/>
  <c r="O62" i="87"/>
  <c r="O66" i="87"/>
  <c r="O70" i="87"/>
  <c r="O74" i="87"/>
  <c r="O3" i="86"/>
  <c r="O7" i="86"/>
  <c r="O11" i="86"/>
  <c r="O15" i="86"/>
  <c r="O19" i="86"/>
  <c r="O23" i="86"/>
  <c r="O27" i="86"/>
  <c r="O31" i="86"/>
  <c r="O35" i="86"/>
  <c r="O39" i="86"/>
  <c r="O43" i="86"/>
  <c r="O47" i="86"/>
  <c r="O51" i="86"/>
  <c r="O4" i="85"/>
  <c r="O8" i="85"/>
  <c r="O12" i="85"/>
  <c r="O16" i="85"/>
  <c r="O6" i="97"/>
  <c r="O9" i="97"/>
  <c r="O12" i="97"/>
  <c r="O22" i="97"/>
  <c r="O25" i="97"/>
  <c r="O28" i="97"/>
  <c r="O10" i="94"/>
  <c r="O13" i="94"/>
  <c r="O16" i="94"/>
  <c r="O5" i="93"/>
  <c r="O8" i="93"/>
  <c r="O11" i="93"/>
  <c r="O21" i="93"/>
  <c r="O24" i="93"/>
  <c r="O27" i="93"/>
  <c r="O37" i="93"/>
  <c r="O40" i="93"/>
  <c r="O4" i="91"/>
  <c r="O14" i="91"/>
  <c r="O17" i="91"/>
  <c r="O20" i="91"/>
  <c r="O3" i="89"/>
  <c r="O6" i="89"/>
  <c r="O9" i="89"/>
  <c r="O19" i="89"/>
  <c r="O22" i="89"/>
  <c r="O25" i="89"/>
  <c r="O35" i="89"/>
  <c r="O38" i="89"/>
  <c r="O41" i="89"/>
  <c r="O51" i="89"/>
  <c r="O54" i="89"/>
  <c r="O57" i="89"/>
  <c r="O12" i="88"/>
  <c r="O15" i="88"/>
  <c r="O18" i="88"/>
  <c r="O28" i="88"/>
  <c r="O4" i="87"/>
  <c r="O7" i="87"/>
  <c r="O17" i="87"/>
  <c r="O20" i="87"/>
  <c r="O23" i="87"/>
  <c r="O33" i="87"/>
  <c r="O36" i="87"/>
  <c r="O39" i="87"/>
  <c r="O49" i="87"/>
  <c r="O52" i="87"/>
  <c r="O55" i="87"/>
  <c r="O65" i="87"/>
  <c r="O68" i="87"/>
  <c r="O71" i="87"/>
  <c r="O6" i="86"/>
  <c r="O9" i="86"/>
  <c r="O12" i="86"/>
  <c r="O22" i="86"/>
  <c r="O25" i="86"/>
  <c r="O28" i="86"/>
  <c r="O38" i="86"/>
  <c r="O41" i="86"/>
  <c r="O44" i="86"/>
  <c r="O3" i="85"/>
  <c r="O6" i="85"/>
  <c r="O9" i="85"/>
  <c r="O19" i="85"/>
  <c r="O23" i="85"/>
  <c r="O27" i="85"/>
  <c r="O31" i="85"/>
  <c r="O35" i="85"/>
  <c r="O39" i="85"/>
  <c r="O43" i="85"/>
  <c r="O47" i="85"/>
  <c r="O51" i="85"/>
  <c r="O55" i="85"/>
  <c r="O59" i="85"/>
  <c r="O63" i="85"/>
  <c r="O67" i="85"/>
  <c r="O71" i="85"/>
  <c r="O75" i="85"/>
  <c r="O79" i="85"/>
  <c r="O83" i="85"/>
  <c r="O87" i="85"/>
  <c r="O91" i="85"/>
  <c r="O95" i="85"/>
  <c r="O99" i="85"/>
  <c r="O103" i="85"/>
  <c r="O107" i="85"/>
  <c r="O6" i="84"/>
  <c r="O10" i="84"/>
  <c r="O14" i="84"/>
  <c r="O18" i="84"/>
  <c r="O22" i="84"/>
  <c r="O26" i="84"/>
  <c r="O5" i="82"/>
  <c r="O9" i="82"/>
  <c r="O13" i="82"/>
  <c r="O17" i="82"/>
  <c r="O21" i="82"/>
  <c r="O25" i="82"/>
  <c r="O29" i="82"/>
  <c r="O33" i="82"/>
  <c r="O37" i="82"/>
  <c r="O6" i="81"/>
  <c r="O10" i="81"/>
  <c r="O14" i="81"/>
  <c r="O3" i="80"/>
  <c r="O7" i="80"/>
  <c r="O11" i="80"/>
  <c r="O15" i="80"/>
  <c r="O19" i="80"/>
  <c r="O6" i="78"/>
  <c r="O10" i="78"/>
  <c r="O14" i="78"/>
  <c r="O5" i="77"/>
  <c r="O9" i="77"/>
  <c r="O13" i="77"/>
  <c r="O6" i="76"/>
  <c r="O10" i="76"/>
  <c r="O14" i="76"/>
  <c r="O18" i="76"/>
  <c r="O3" i="74"/>
  <c r="O7" i="74"/>
  <c r="O11" i="74"/>
  <c r="O15" i="74"/>
  <c r="O19" i="74"/>
  <c r="O4" i="72"/>
  <c r="O8" i="72"/>
  <c r="O12" i="72"/>
  <c r="O16" i="72"/>
  <c r="O20" i="72"/>
  <c r="O5" i="97"/>
  <c r="O8" i="97"/>
  <c r="O18" i="97"/>
  <c r="O21" i="97"/>
  <c r="O24" i="97"/>
  <c r="O6" i="94"/>
  <c r="O9" i="94"/>
  <c r="O12" i="94"/>
  <c r="O22" i="94"/>
  <c r="O4" i="93"/>
  <c r="O7" i="93"/>
  <c r="O17" i="93"/>
  <c r="O20" i="93"/>
  <c r="O23" i="93"/>
  <c r="O33" i="93"/>
  <c r="O36" i="93"/>
  <c r="O39" i="93"/>
  <c r="O10" i="91"/>
  <c r="O13" i="91"/>
  <c r="O16" i="91"/>
  <c r="O26" i="91"/>
  <c r="O29" i="91"/>
  <c r="O5" i="89"/>
  <c r="O15" i="89"/>
  <c r="O18" i="89"/>
  <c r="O21" i="89"/>
  <c r="O31" i="89"/>
  <c r="O34" i="89"/>
  <c r="O37" i="89"/>
  <c r="O47" i="89"/>
  <c r="O50" i="89"/>
  <c r="O53" i="89"/>
  <c r="O8" i="88"/>
  <c r="O11" i="88"/>
  <c r="O14" i="88"/>
  <c r="O24" i="88"/>
  <c r="O27" i="88"/>
  <c r="O3" i="87"/>
  <c r="O13" i="87"/>
  <c r="O16" i="87"/>
  <c r="O19" i="87"/>
  <c r="O29" i="87"/>
  <c r="O32" i="87"/>
  <c r="O35" i="87"/>
  <c r="O45" i="87"/>
  <c r="O48" i="87"/>
  <c r="O51" i="87"/>
  <c r="O61" i="87"/>
  <c r="O64" i="87"/>
  <c r="O67" i="87"/>
  <c r="O77" i="87"/>
  <c r="O5" i="86"/>
  <c r="O8" i="86"/>
  <c r="O18" i="86"/>
  <c r="O21" i="86"/>
  <c r="O24" i="86"/>
  <c r="O34" i="86"/>
  <c r="O37" i="86"/>
  <c r="O40" i="86"/>
  <c r="O50" i="86"/>
  <c r="O53" i="86"/>
  <c r="O5" i="85"/>
  <c r="O15" i="85"/>
  <c r="O18" i="85"/>
  <c r="O22" i="85"/>
  <c r="O26" i="85"/>
  <c r="O30" i="85"/>
  <c r="O34" i="85"/>
  <c r="O38" i="85"/>
  <c r="O42" i="85"/>
  <c r="O46" i="85"/>
  <c r="O50" i="85"/>
  <c r="O54" i="85"/>
  <c r="O58" i="85"/>
  <c r="O62" i="85"/>
  <c r="O66" i="85"/>
  <c r="O70" i="85"/>
  <c r="O74" i="85"/>
  <c r="O78" i="85"/>
  <c r="O82" i="85"/>
  <c r="O86" i="85"/>
  <c r="O90" i="85"/>
  <c r="O94" i="85"/>
  <c r="O98" i="85"/>
  <c r="O14" i="97"/>
  <c r="O17" i="97"/>
  <c r="O26" i="97"/>
  <c r="O18" i="94"/>
  <c r="O21" i="94"/>
  <c r="O9" i="93"/>
  <c r="O29" i="93"/>
  <c r="O32" i="93"/>
  <c r="O41" i="93"/>
  <c r="O22" i="91"/>
  <c r="O25" i="91"/>
  <c r="O7" i="89"/>
  <c r="O27" i="89"/>
  <c r="O30" i="89"/>
  <c r="O39" i="89"/>
  <c r="O4" i="88"/>
  <c r="O7" i="88"/>
  <c r="O16" i="88"/>
  <c r="O9" i="87"/>
  <c r="O12" i="87"/>
  <c r="O21" i="87"/>
  <c r="O41" i="87"/>
  <c r="O44" i="87"/>
  <c r="O53" i="87"/>
  <c r="O73" i="87"/>
  <c r="O76" i="87"/>
  <c r="O10" i="86"/>
  <c r="O30" i="86"/>
  <c r="O33" i="86"/>
  <c r="O42" i="86"/>
  <c r="O11" i="85"/>
  <c r="O14" i="85"/>
  <c r="O24" i="85"/>
  <c r="O32" i="85"/>
  <c r="O40" i="85"/>
  <c r="O48" i="85"/>
  <c r="O56" i="85"/>
  <c r="O64" i="85"/>
  <c r="O72" i="85"/>
  <c r="O80" i="85"/>
  <c r="O88" i="85"/>
  <c r="O96" i="85"/>
  <c r="O102" i="85"/>
  <c r="O105" i="85"/>
  <c r="O108" i="85"/>
  <c r="O3" i="84"/>
  <c r="O13" i="84"/>
  <c r="O16" i="84"/>
  <c r="O19" i="84"/>
  <c r="O4" i="82"/>
  <c r="O7" i="82"/>
  <c r="O10" i="82"/>
  <c r="O20" i="82"/>
  <c r="O23" i="82"/>
  <c r="O26" i="82"/>
  <c r="O36" i="82"/>
  <c r="O4" i="81"/>
  <c r="O7" i="81"/>
  <c r="O17" i="81"/>
  <c r="O5" i="80"/>
  <c r="O8" i="80"/>
  <c r="O18" i="80"/>
  <c r="O4" i="78"/>
  <c r="O7" i="78"/>
  <c r="O4" i="77"/>
  <c r="O7" i="77"/>
  <c r="O10" i="77"/>
  <c r="O9" i="76"/>
  <c r="O12" i="76"/>
  <c r="O15" i="76"/>
  <c r="O6" i="74"/>
  <c r="O9" i="74"/>
  <c r="O12" i="74"/>
  <c r="O3" i="72"/>
  <c r="O6" i="72"/>
  <c r="O9" i="72"/>
  <c r="O19" i="72"/>
  <c r="O2" i="75"/>
  <c r="O2" i="80"/>
  <c r="O2" i="84"/>
  <c r="O2" i="87"/>
  <c r="O2" i="91"/>
  <c r="O2" i="95"/>
  <c r="O2" i="72"/>
  <c r="O3" i="71"/>
  <c r="O4" i="71"/>
  <c r="O5" i="71"/>
  <c r="O6" i="71"/>
  <c r="O10" i="97"/>
  <c r="O30" i="97"/>
  <c r="O5" i="94"/>
  <c r="O13" i="93"/>
  <c r="O25" i="93"/>
  <c r="O6" i="91"/>
  <c r="O18" i="91"/>
  <c r="O11" i="89"/>
  <c r="O46" i="89"/>
  <c r="O55" i="89"/>
  <c r="O20" i="88"/>
  <c r="O37" i="87"/>
  <c r="O60" i="87"/>
  <c r="O14" i="86"/>
  <c r="O26" i="86"/>
  <c r="O46" i="86"/>
  <c r="O20" i="85"/>
  <c r="O36" i="85"/>
  <c r="O52" i="85"/>
  <c r="O76" i="85"/>
  <c r="O84" i="85"/>
  <c r="O92" i="85"/>
  <c r="O8" i="84"/>
  <c r="O24" i="84"/>
  <c r="O15" i="82"/>
  <c r="O18" i="82"/>
  <c r="O31" i="82"/>
  <c r="O34" i="82"/>
  <c r="O12" i="81"/>
  <c r="O10" i="80"/>
  <c r="O16" i="80"/>
  <c r="O12" i="78"/>
  <c r="O12" i="77"/>
  <c r="O7" i="76"/>
  <c r="O17" i="76"/>
  <c r="O20" i="76"/>
  <c r="O14" i="74"/>
  <c r="O14" i="72"/>
  <c r="O2" i="73"/>
  <c r="O2" i="79"/>
  <c r="O2" i="89"/>
  <c r="O2" i="93"/>
  <c r="O3" i="93"/>
  <c r="O12" i="93"/>
  <c r="O35" i="93"/>
  <c r="O5" i="91"/>
  <c r="O42" i="89"/>
  <c r="O10" i="88"/>
  <c r="O22" i="88"/>
  <c r="O47" i="87"/>
  <c r="O56" i="87"/>
  <c r="O4" i="86"/>
  <c r="O13" i="86"/>
  <c r="O48" i="86"/>
  <c r="O17" i="85"/>
  <c r="O25" i="85"/>
  <c r="O41" i="85"/>
  <c r="O57" i="85"/>
  <c r="O65" i="85"/>
  <c r="O73" i="85"/>
  <c r="O97" i="85"/>
  <c r="O109" i="85"/>
  <c r="O4" i="84"/>
  <c r="O20" i="84"/>
  <c r="O11" i="82"/>
  <c r="O24" i="82"/>
  <c r="O30" i="82"/>
  <c r="O5" i="81"/>
  <c r="O11" i="81"/>
  <c r="O9" i="80"/>
  <c r="O4" i="97"/>
  <c r="O13" i="97"/>
  <c r="O16" i="97"/>
  <c r="O8" i="94"/>
  <c r="O17" i="94"/>
  <c r="O20" i="94"/>
  <c r="O19" i="93"/>
  <c r="O28" i="93"/>
  <c r="O31" i="93"/>
  <c r="O12" i="91"/>
  <c r="O21" i="91"/>
  <c r="O24" i="91"/>
  <c r="O17" i="89"/>
  <c r="O26" i="89"/>
  <c r="O29" i="89"/>
  <c r="O49" i="89"/>
  <c r="O3" i="88"/>
  <c r="O6" i="88"/>
  <c r="O26" i="88"/>
  <c r="O8" i="87"/>
  <c r="O11" i="87"/>
  <c r="O31" i="87"/>
  <c r="O40" i="87"/>
  <c r="O43" i="87"/>
  <c r="O63" i="87"/>
  <c r="O72" i="87"/>
  <c r="O75" i="87"/>
  <c r="O20" i="86"/>
  <c r="O29" i="86"/>
  <c r="O32" i="86"/>
  <c r="O52" i="86"/>
  <c r="O10" i="85"/>
  <c r="O13" i="85"/>
  <c r="O21" i="85"/>
  <c r="O29" i="85"/>
  <c r="O37" i="85"/>
  <c r="O45" i="85"/>
  <c r="O53" i="85"/>
  <c r="O61" i="85"/>
  <c r="O69" i="85"/>
  <c r="O77" i="85"/>
  <c r="O85" i="85"/>
  <c r="O93" i="85"/>
  <c r="O101" i="85"/>
  <c r="O104" i="85"/>
  <c r="O9" i="84"/>
  <c r="O12" i="84"/>
  <c r="O15" i="84"/>
  <c r="O25" i="84"/>
  <c r="O3" i="82"/>
  <c r="O6" i="82"/>
  <c r="O16" i="82"/>
  <c r="O19" i="82"/>
  <c r="O22" i="82"/>
  <c r="O32" i="82"/>
  <c r="O35" i="82"/>
  <c r="O3" i="81"/>
  <c r="O13" i="81"/>
  <c r="O16" i="81"/>
  <c r="O4" i="80"/>
  <c r="O14" i="80"/>
  <c r="O17" i="80"/>
  <c r="O3" i="78"/>
  <c r="O13" i="78"/>
  <c r="O3" i="77"/>
  <c r="O6" i="77"/>
  <c r="O5" i="76"/>
  <c r="O8" i="76"/>
  <c r="O11" i="76"/>
  <c r="O21" i="76"/>
  <c r="O5" i="74"/>
  <c r="O8" i="74"/>
  <c r="O18" i="74"/>
  <c r="O21" i="74"/>
  <c r="O5" i="72"/>
  <c r="O15" i="72"/>
  <c r="O18" i="72"/>
  <c r="O21" i="72"/>
  <c r="O2" i="74"/>
  <c r="O2" i="78"/>
  <c r="O2" i="82"/>
  <c r="O2" i="86"/>
  <c r="O2" i="90"/>
  <c r="O2" i="94"/>
  <c r="O2" i="98"/>
  <c r="O7" i="71"/>
  <c r="O8" i="71"/>
  <c r="O9" i="71"/>
  <c r="O2" i="71"/>
  <c r="O14" i="94"/>
  <c r="O16" i="93"/>
  <c r="O9" i="91"/>
  <c r="O14" i="89"/>
  <c r="O23" i="89"/>
  <c r="O43" i="89"/>
  <c r="O23" i="88"/>
  <c r="O5" i="87"/>
  <c r="O25" i="87"/>
  <c r="O28" i="87"/>
  <c r="O57" i="87"/>
  <c r="O69" i="87"/>
  <c r="O17" i="86"/>
  <c r="O49" i="86"/>
  <c r="O7" i="85"/>
  <c r="O28" i="85"/>
  <c r="O44" i="85"/>
  <c r="O60" i="85"/>
  <c r="O68" i="85"/>
  <c r="O100" i="85"/>
  <c r="O5" i="84"/>
  <c r="O11" i="84"/>
  <c r="O21" i="84"/>
  <c r="O27" i="84"/>
  <c r="O12" i="82"/>
  <c r="O28" i="82"/>
  <c r="O9" i="81"/>
  <c r="O15" i="81"/>
  <c r="O13" i="80"/>
  <c r="O9" i="78"/>
  <c r="O15" i="78"/>
  <c r="O4" i="76"/>
  <c r="O4" i="74"/>
  <c r="O17" i="74"/>
  <c r="O20" i="74"/>
  <c r="O11" i="72"/>
  <c r="O17" i="72"/>
  <c r="O2" i="77"/>
  <c r="O2" i="85"/>
  <c r="O2" i="97"/>
  <c r="O10" i="71"/>
  <c r="O11" i="71"/>
  <c r="O20" i="97"/>
  <c r="O29" i="97"/>
  <c r="O4" i="94"/>
  <c r="O15" i="93"/>
  <c r="O8" i="91"/>
  <c r="O28" i="91"/>
  <c r="O10" i="89"/>
  <c r="O13" i="89"/>
  <c r="O33" i="89"/>
  <c r="O45" i="89"/>
  <c r="O19" i="88"/>
  <c r="O15" i="87"/>
  <c r="O24" i="87"/>
  <c r="O27" i="87"/>
  <c r="O59" i="87"/>
  <c r="O16" i="86"/>
  <c r="O36" i="86"/>
  <c r="O45" i="86"/>
  <c r="O33" i="85"/>
  <c r="O49" i="85"/>
  <c r="O81" i="85"/>
  <c r="O89" i="85"/>
  <c r="O106" i="85"/>
  <c r="O7" i="84"/>
  <c r="O17" i="84"/>
  <c r="O23" i="84"/>
  <c r="O8" i="82"/>
  <c r="O14" i="82"/>
  <c r="O27" i="82"/>
  <c r="O8" i="81"/>
  <c r="O6" i="80"/>
  <c r="O12" i="80"/>
  <c r="O5" i="78"/>
  <c r="O8" i="78"/>
  <c r="O3" i="76"/>
  <c r="O16" i="76"/>
  <c r="O10" i="74"/>
  <c r="O2" i="76"/>
  <c r="O2" i="92"/>
  <c r="O8" i="77"/>
  <c r="O10" i="72"/>
  <c r="O2" i="83"/>
  <c r="O19" i="76"/>
  <c r="O2" i="88"/>
  <c r="O11" i="78"/>
  <c r="O11" i="77"/>
  <c r="O13" i="76"/>
  <c r="O13" i="72"/>
  <c r="O2" i="81"/>
  <c r="O2" i="96"/>
  <c r="O16" i="74"/>
  <c r="O13" i="74"/>
  <c r="O7" i="72"/>
  <c r="AD29" i="88"/>
  <c r="P105" i="85"/>
  <c r="P2" i="73"/>
  <c r="P2" i="74"/>
  <c r="P2" i="75"/>
  <c r="P2" i="76"/>
  <c r="P2" i="77"/>
  <c r="P2" i="78"/>
  <c r="P2" i="80"/>
  <c r="P2" i="81"/>
  <c r="P2" i="79"/>
  <c r="P2" i="82"/>
  <c r="P2" i="84"/>
  <c r="P2" i="83"/>
  <c r="P2" i="85"/>
  <c r="P2" i="86"/>
  <c r="P2" i="87"/>
  <c r="P2" i="88"/>
  <c r="P2" i="89"/>
  <c r="P2" i="90"/>
  <c r="P2" i="91"/>
  <c r="P2" i="92"/>
  <c r="P2" i="93"/>
  <c r="P2" i="94"/>
  <c r="P2" i="95"/>
  <c r="P2" i="96"/>
  <c r="P2" i="97"/>
  <c r="P2" i="98"/>
  <c r="P2" i="72"/>
  <c r="P9" i="71"/>
  <c r="P6" i="71"/>
  <c r="P10" i="71"/>
  <c r="P107" i="85"/>
  <c r="P5" i="97"/>
  <c r="P9" i="97"/>
  <c r="P13" i="97"/>
  <c r="P17" i="97"/>
  <c r="P21" i="97"/>
  <c r="P25" i="97"/>
  <c r="P29" i="97"/>
  <c r="P5" i="94"/>
  <c r="P9" i="94"/>
  <c r="P13" i="94"/>
  <c r="P17" i="94"/>
  <c r="P21" i="94"/>
  <c r="P4" i="93"/>
  <c r="P8" i="93"/>
  <c r="P12" i="93"/>
  <c r="P16" i="93"/>
  <c r="P20" i="93"/>
  <c r="P24" i="93"/>
  <c r="P28" i="93"/>
  <c r="P32" i="93"/>
  <c r="P36" i="93"/>
  <c r="P7" i="71"/>
  <c r="P4" i="84"/>
  <c r="P8" i="84"/>
  <c r="P12" i="84"/>
  <c r="P16" i="84"/>
  <c r="P20" i="84"/>
  <c r="P24" i="84"/>
  <c r="P3" i="82"/>
  <c r="P7" i="82"/>
  <c r="P11" i="82"/>
  <c r="P15" i="82"/>
  <c r="P19" i="82"/>
  <c r="P23" i="82"/>
  <c r="P27" i="82"/>
  <c r="P31" i="82"/>
  <c r="P35" i="82"/>
  <c r="P4" i="81"/>
  <c r="P8" i="81"/>
  <c r="P12" i="81"/>
  <c r="P16" i="81"/>
  <c r="P5" i="80"/>
  <c r="P9" i="80"/>
  <c r="P39" i="93"/>
  <c r="P4" i="91"/>
  <c r="P8" i="91"/>
  <c r="P12" i="91"/>
  <c r="P16" i="91"/>
  <c r="P20" i="91"/>
  <c r="P24" i="91"/>
  <c r="P28" i="91"/>
  <c r="P5" i="89"/>
  <c r="P9" i="89"/>
  <c r="P13" i="89"/>
  <c r="P17" i="89"/>
  <c r="P21" i="89"/>
  <c r="P25" i="89"/>
  <c r="P29" i="89"/>
  <c r="P33" i="89"/>
  <c r="P37" i="89"/>
  <c r="P41" i="89"/>
  <c r="P45" i="89"/>
  <c r="P49" i="89"/>
  <c r="P53" i="89"/>
  <c r="P57" i="89"/>
  <c r="P6" i="88"/>
  <c r="P10" i="88"/>
  <c r="P14" i="88"/>
  <c r="P18" i="88"/>
  <c r="P22" i="88"/>
  <c r="P26" i="88"/>
  <c r="P3" i="87"/>
  <c r="P7" i="87"/>
  <c r="P11" i="87"/>
  <c r="P15" i="87"/>
  <c r="P19" i="87"/>
  <c r="P23" i="87"/>
  <c r="P27" i="87"/>
  <c r="P31" i="87"/>
  <c r="P35" i="87"/>
  <c r="P39" i="87"/>
  <c r="P43" i="87"/>
  <c r="P47" i="87"/>
  <c r="P51" i="87"/>
  <c r="P55" i="87"/>
  <c r="P59" i="87"/>
  <c r="P62" i="87"/>
  <c r="P66" i="87"/>
  <c r="P70" i="87"/>
  <c r="P74" i="87"/>
  <c r="P3" i="86"/>
  <c r="P7" i="86"/>
  <c r="P11" i="86"/>
  <c r="P15" i="86"/>
  <c r="P19" i="86"/>
  <c r="P23" i="86"/>
  <c r="P27" i="86"/>
  <c r="P31" i="86"/>
  <c r="P35" i="86"/>
  <c r="P39" i="86"/>
  <c r="P43" i="86"/>
  <c r="P47" i="86"/>
  <c r="P51" i="86"/>
  <c r="P4" i="85"/>
  <c r="P8" i="85"/>
  <c r="P12" i="85"/>
  <c r="P16" i="85"/>
  <c r="P20" i="85"/>
  <c r="P24" i="85"/>
  <c r="P28" i="85"/>
  <c r="P32" i="85"/>
  <c r="P36" i="85"/>
  <c r="P40" i="85"/>
  <c r="P44" i="85"/>
  <c r="P48" i="85"/>
  <c r="P52" i="85"/>
  <c r="P56" i="85"/>
  <c r="P60" i="85"/>
  <c r="P64" i="85"/>
  <c r="P68" i="85"/>
  <c r="P72" i="85"/>
  <c r="P76" i="85"/>
  <c r="P80" i="85"/>
  <c r="P84" i="85"/>
  <c r="P88" i="85"/>
  <c r="P92" i="85"/>
  <c r="P96" i="85"/>
  <c r="P100" i="85"/>
  <c r="P104" i="85"/>
  <c r="P19" i="72"/>
  <c r="P15" i="72"/>
  <c r="P11" i="72"/>
  <c r="P7" i="72"/>
  <c r="P3" i="72"/>
  <c r="P18" i="74"/>
  <c r="P14" i="74"/>
  <c r="P10" i="74"/>
  <c r="P6" i="74"/>
  <c r="P21" i="76"/>
  <c r="P17" i="76"/>
  <c r="P13" i="76"/>
  <c r="P9" i="76"/>
  <c r="P5" i="76"/>
  <c r="P12" i="77"/>
  <c r="P8" i="77"/>
  <c r="P4" i="77"/>
  <c r="P13" i="78"/>
  <c r="P9" i="78"/>
  <c r="P5" i="78"/>
  <c r="P18" i="80"/>
  <c r="P14" i="80"/>
  <c r="P109" i="85"/>
  <c r="P19" i="94"/>
  <c r="P10" i="93"/>
  <c r="P18" i="93"/>
  <c r="P26" i="93"/>
  <c r="P34" i="93"/>
  <c r="P2" i="71"/>
  <c r="P10" i="84"/>
  <c r="P18" i="84"/>
  <c r="P26" i="84"/>
  <c r="P9" i="82"/>
  <c r="P21" i="82"/>
  <c r="P29" i="82"/>
  <c r="P37" i="82"/>
  <c r="P10" i="81"/>
  <c r="P3" i="80"/>
  <c r="P4" i="71"/>
  <c r="P106" i="85"/>
  <c r="P6" i="97"/>
  <c r="P10" i="97"/>
  <c r="P14" i="97"/>
  <c r="P18" i="97"/>
  <c r="P22" i="97"/>
  <c r="P26" i="97"/>
  <c r="P30" i="97"/>
  <c r="P6" i="94"/>
  <c r="P10" i="94"/>
  <c r="P14" i="94"/>
  <c r="P18" i="94"/>
  <c r="P22" i="94"/>
  <c r="P5" i="93"/>
  <c r="P9" i="93"/>
  <c r="P13" i="93"/>
  <c r="P17" i="93"/>
  <c r="P21" i="93"/>
  <c r="P25" i="93"/>
  <c r="P29" i="93"/>
  <c r="P33" i="93"/>
  <c r="P37" i="93"/>
  <c r="P11" i="71"/>
  <c r="P5" i="84"/>
  <c r="P9" i="84"/>
  <c r="P13" i="84"/>
  <c r="P17" i="84"/>
  <c r="P21" i="84"/>
  <c r="P25" i="84"/>
  <c r="P4" i="82"/>
  <c r="P8" i="82"/>
  <c r="P12" i="82"/>
  <c r="P16" i="82"/>
  <c r="P20" i="82"/>
  <c r="P24" i="82"/>
  <c r="P28" i="82"/>
  <c r="P32" i="82"/>
  <c r="P36" i="82"/>
  <c r="P5" i="81"/>
  <c r="P9" i="81"/>
  <c r="P13" i="81"/>
  <c r="P17" i="81"/>
  <c r="P6" i="80"/>
  <c r="P10" i="80"/>
  <c r="P40" i="93"/>
  <c r="P5" i="91"/>
  <c r="P9" i="91"/>
  <c r="P13" i="91"/>
  <c r="P17" i="91"/>
  <c r="P21" i="91"/>
  <c r="P25" i="91"/>
  <c r="P29" i="91"/>
  <c r="P6" i="89"/>
  <c r="P10" i="89"/>
  <c r="P14" i="89"/>
  <c r="P18" i="89"/>
  <c r="P22" i="89"/>
  <c r="P26" i="89"/>
  <c r="P30" i="89"/>
  <c r="P34" i="89"/>
  <c r="P38" i="89"/>
  <c r="P42" i="89"/>
  <c r="P46" i="89"/>
  <c r="P50" i="89"/>
  <c r="P54" i="89"/>
  <c r="P3" i="88"/>
  <c r="P7" i="88"/>
  <c r="P11" i="88"/>
  <c r="P15" i="88"/>
  <c r="P19" i="88"/>
  <c r="P23" i="88"/>
  <c r="P27" i="88"/>
  <c r="P4" i="87"/>
  <c r="P8" i="87"/>
  <c r="P12" i="87"/>
  <c r="P16" i="87"/>
  <c r="P20" i="87"/>
  <c r="P24" i="87"/>
  <c r="P28" i="87"/>
  <c r="P32" i="87"/>
  <c r="P36" i="87"/>
  <c r="P40" i="87"/>
  <c r="P44" i="87"/>
  <c r="P48" i="87"/>
  <c r="P52" i="87"/>
  <c r="P56" i="87"/>
  <c r="P60" i="87"/>
  <c r="P63" i="87"/>
  <c r="P67" i="87"/>
  <c r="P71" i="87"/>
  <c r="P75" i="87"/>
  <c r="P4" i="86"/>
  <c r="P8" i="86"/>
  <c r="P12" i="86"/>
  <c r="P16" i="86"/>
  <c r="P20" i="86"/>
  <c r="P24" i="86"/>
  <c r="P28" i="86"/>
  <c r="P32" i="86"/>
  <c r="P36" i="86"/>
  <c r="P40" i="86"/>
  <c r="P44" i="86"/>
  <c r="P48" i="86"/>
  <c r="P52" i="86"/>
  <c r="P5" i="85"/>
  <c r="P9" i="85"/>
  <c r="P13" i="85"/>
  <c r="P17" i="85"/>
  <c r="P21" i="85"/>
  <c r="P25" i="85"/>
  <c r="P29" i="85"/>
  <c r="P33" i="85"/>
  <c r="P37" i="85"/>
  <c r="P41" i="85"/>
  <c r="P45" i="85"/>
  <c r="P49" i="85"/>
  <c r="P53" i="85"/>
  <c r="P57" i="85"/>
  <c r="P61" i="85"/>
  <c r="P65" i="85"/>
  <c r="P69" i="85"/>
  <c r="P73" i="85"/>
  <c r="P77" i="85"/>
  <c r="P81" i="85"/>
  <c r="P85" i="85"/>
  <c r="P89" i="85"/>
  <c r="P93" i="85"/>
  <c r="P97" i="85"/>
  <c r="P101" i="85"/>
  <c r="P5" i="71"/>
  <c r="P18" i="72"/>
  <c r="P14" i="72"/>
  <c r="P10" i="72"/>
  <c r="P6" i="72"/>
  <c r="P21" i="74"/>
  <c r="P17" i="74"/>
  <c r="P13" i="74"/>
  <c r="P9" i="74"/>
  <c r="P5" i="74"/>
  <c r="P20" i="76"/>
  <c r="P16" i="76"/>
  <c r="P12" i="76"/>
  <c r="P8" i="76"/>
  <c r="P4" i="76"/>
  <c r="P11" i="77"/>
  <c r="P7" i="77"/>
  <c r="P3" i="77"/>
  <c r="P12" i="78"/>
  <c r="P8" i="78"/>
  <c r="P4" i="78"/>
  <c r="P17" i="80"/>
  <c r="P13" i="80"/>
  <c r="P3" i="97"/>
  <c r="P7" i="97"/>
  <c r="P11" i="97"/>
  <c r="P15" i="97"/>
  <c r="P19" i="97"/>
  <c r="P23" i="97"/>
  <c r="P27" i="97"/>
  <c r="P3" i="94"/>
  <c r="P7" i="94"/>
  <c r="P11" i="94"/>
  <c r="P15" i="94"/>
  <c r="P23" i="94"/>
  <c r="P6" i="93"/>
  <c r="P14" i="93"/>
  <c r="P22" i="93"/>
  <c r="P30" i="93"/>
  <c r="P38" i="93"/>
  <c r="P6" i="84"/>
  <c r="P14" i="84"/>
  <c r="P22" i="84"/>
  <c r="P5" i="82"/>
  <c r="P13" i="82"/>
  <c r="P17" i="82"/>
  <c r="P25" i="82"/>
  <c r="P33" i="82"/>
  <c r="P6" i="81"/>
  <c r="P14" i="81"/>
  <c r="P7" i="80"/>
  <c r="P108" i="85"/>
  <c r="P16" i="97"/>
  <c r="P4" i="94"/>
  <c r="P20" i="94"/>
  <c r="P15" i="93"/>
  <c r="P31" i="93"/>
  <c r="P7" i="84"/>
  <c r="P23" i="84"/>
  <c r="P14" i="82"/>
  <c r="P30" i="82"/>
  <c r="P11" i="81"/>
  <c r="P11" i="80"/>
  <c r="P6" i="91"/>
  <c r="P14" i="91"/>
  <c r="P22" i="91"/>
  <c r="P3" i="89"/>
  <c r="P11" i="89"/>
  <c r="P19" i="89"/>
  <c r="P27" i="89"/>
  <c r="P35" i="89"/>
  <c r="P43" i="89"/>
  <c r="P51" i="89"/>
  <c r="P4" i="88"/>
  <c r="P12" i="88"/>
  <c r="P20" i="88"/>
  <c r="P28" i="88"/>
  <c r="P9" i="87"/>
  <c r="P17" i="87"/>
  <c r="P25" i="87"/>
  <c r="P33" i="87"/>
  <c r="P41" i="87"/>
  <c r="P49" i="87"/>
  <c r="P57" i="87"/>
  <c r="P64" i="87"/>
  <c r="P72" i="87"/>
  <c r="P5" i="86"/>
  <c r="P13" i="86"/>
  <c r="P21" i="86"/>
  <c r="P29" i="86"/>
  <c r="P37" i="86"/>
  <c r="P45" i="86"/>
  <c r="P53" i="86"/>
  <c r="P10" i="85"/>
  <c r="P18" i="85"/>
  <c r="P26" i="85"/>
  <c r="P34" i="85"/>
  <c r="P42" i="85"/>
  <c r="P50" i="85"/>
  <c r="P58" i="85"/>
  <c r="P66" i="85"/>
  <c r="P74" i="85"/>
  <c r="P82" i="85"/>
  <c r="P90" i="85"/>
  <c r="P98" i="85"/>
  <c r="P21" i="72"/>
  <c r="P13" i="72"/>
  <c r="P5" i="72"/>
  <c r="P16" i="74"/>
  <c r="P8" i="74"/>
  <c r="P19" i="76"/>
  <c r="P11" i="76"/>
  <c r="P3" i="76"/>
  <c r="P6" i="77"/>
  <c r="P11" i="78"/>
  <c r="P3" i="78"/>
  <c r="P46" i="85"/>
  <c r="P94" i="85"/>
  <c r="P9" i="72"/>
  <c r="P12" i="74"/>
  <c r="P15" i="76"/>
  <c r="P10" i="77"/>
  <c r="P7" i="78"/>
  <c r="P47" i="85"/>
  <c r="P14" i="76"/>
  <c r="P4" i="97"/>
  <c r="P20" i="97"/>
  <c r="P8" i="94"/>
  <c r="P3" i="93"/>
  <c r="P19" i="93"/>
  <c r="P35" i="93"/>
  <c r="P11" i="84"/>
  <c r="P27" i="84"/>
  <c r="P18" i="82"/>
  <c r="P34" i="82"/>
  <c r="P15" i="81"/>
  <c r="P12" i="80"/>
  <c r="P7" i="91"/>
  <c r="P15" i="91"/>
  <c r="P23" i="91"/>
  <c r="P4" i="89"/>
  <c r="P12" i="89"/>
  <c r="P20" i="89"/>
  <c r="P28" i="89"/>
  <c r="P36" i="89"/>
  <c r="P44" i="89"/>
  <c r="P52" i="89"/>
  <c r="P5" i="88"/>
  <c r="P13" i="88"/>
  <c r="P21" i="88"/>
  <c r="P29" i="88"/>
  <c r="P10" i="87"/>
  <c r="P18" i="87"/>
  <c r="P26" i="87"/>
  <c r="P34" i="87"/>
  <c r="P42" i="87"/>
  <c r="P50" i="87"/>
  <c r="P58" i="87"/>
  <c r="P65" i="87"/>
  <c r="P73" i="87"/>
  <c r="P6" i="86"/>
  <c r="P14" i="86"/>
  <c r="P22" i="86"/>
  <c r="P30" i="86"/>
  <c r="P38" i="86"/>
  <c r="P46" i="86"/>
  <c r="P3" i="85"/>
  <c r="P11" i="85"/>
  <c r="P19" i="85"/>
  <c r="P27" i="85"/>
  <c r="P35" i="85"/>
  <c r="P43" i="85"/>
  <c r="P51" i="85"/>
  <c r="P59" i="85"/>
  <c r="P67" i="85"/>
  <c r="P75" i="85"/>
  <c r="P83" i="85"/>
  <c r="P91" i="85"/>
  <c r="P99" i="85"/>
  <c r="P20" i="72"/>
  <c r="P12" i="72"/>
  <c r="P4" i="72"/>
  <c r="P15" i="74"/>
  <c r="P7" i="74"/>
  <c r="P18" i="76"/>
  <c r="P10" i="76"/>
  <c r="P13" i="77"/>
  <c r="P5" i="77"/>
  <c r="P10" i="78"/>
  <c r="P19" i="80"/>
  <c r="P8" i="97"/>
  <c r="P24" i="97"/>
  <c r="P12" i="94"/>
  <c r="P7" i="93"/>
  <c r="P23" i="93"/>
  <c r="P3" i="71"/>
  <c r="P15" i="84"/>
  <c r="P6" i="82"/>
  <c r="P22" i="82"/>
  <c r="P3" i="81"/>
  <c r="P4" i="80"/>
  <c r="P41" i="93"/>
  <c r="P10" i="91"/>
  <c r="P18" i="91"/>
  <c r="P26" i="91"/>
  <c r="P7" i="89"/>
  <c r="P15" i="89"/>
  <c r="P23" i="89"/>
  <c r="P31" i="89"/>
  <c r="P39" i="89"/>
  <c r="P47" i="89"/>
  <c r="P55" i="89"/>
  <c r="P8" i="88"/>
  <c r="P16" i="88"/>
  <c r="P24" i="88"/>
  <c r="P5" i="87"/>
  <c r="P13" i="87"/>
  <c r="P21" i="87"/>
  <c r="P29" i="87"/>
  <c r="P37" i="87"/>
  <c r="P45" i="87"/>
  <c r="P53" i="87"/>
  <c r="P8" i="71"/>
  <c r="P68" i="87"/>
  <c r="P76" i="87"/>
  <c r="P9" i="86"/>
  <c r="P17" i="86"/>
  <c r="P25" i="86"/>
  <c r="P33" i="86"/>
  <c r="P41" i="86"/>
  <c r="P49" i="86"/>
  <c r="P6" i="85"/>
  <c r="P14" i="85"/>
  <c r="P22" i="85"/>
  <c r="P30" i="85"/>
  <c r="P38" i="85"/>
  <c r="P54" i="85"/>
  <c r="P62" i="85"/>
  <c r="P70" i="85"/>
  <c r="P78" i="85"/>
  <c r="P86" i="85"/>
  <c r="P102" i="85"/>
  <c r="P17" i="72"/>
  <c r="P20" i="74"/>
  <c r="P4" i="74"/>
  <c r="P7" i="76"/>
  <c r="P15" i="78"/>
  <c r="P16" i="80"/>
  <c r="P12" i="97"/>
  <c r="P28" i="97"/>
  <c r="P16" i="94"/>
  <c r="P11" i="93"/>
  <c r="P27" i="93"/>
  <c r="P3" i="84"/>
  <c r="P19" i="84"/>
  <c r="P10" i="82"/>
  <c r="P26" i="82"/>
  <c r="P7" i="81"/>
  <c r="P8" i="80"/>
  <c r="P3" i="91"/>
  <c r="P11" i="91"/>
  <c r="P19" i="91"/>
  <c r="P27" i="91"/>
  <c r="P8" i="89"/>
  <c r="P16" i="89"/>
  <c r="P24" i="89"/>
  <c r="P32" i="89"/>
  <c r="P40" i="89"/>
  <c r="P48" i="89"/>
  <c r="P56" i="89"/>
  <c r="P9" i="88"/>
  <c r="P17" i="88"/>
  <c r="P25" i="88"/>
  <c r="P6" i="87"/>
  <c r="P14" i="87"/>
  <c r="P22" i="87"/>
  <c r="P30" i="87"/>
  <c r="P38" i="87"/>
  <c r="P46" i="87"/>
  <c r="P54" i="87"/>
  <c r="P61" i="87"/>
  <c r="P69" i="87"/>
  <c r="P77" i="87"/>
  <c r="P10" i="86"/>
  <c r="P18" i="86"/>
  <c r="P26" i="86"/>
  <c r="P34" i="86"/>
  <c r="P42" i="86"/>
  <c r="P50" i="86"/>
  <c r="P7" i="85"/>
  <c r="P15" i="85"/>
  <c r="P23" i="85"/>
  <c r="P31" i="85"/>
  <c r="P39" i="85"/>
  <c r="P55" i="85"/>
  <c r="P63" i="85"/>
  <c r="P71" i="85"/>
  <c r="P79" i="85"/>
  <c r="P87" i="85"/>
  <c r="P95" i="85"/>
  <c r="P103" i="85"/>
  <c r="P16" i="72"/>
  <c r="P8" i="72"/>
  <c r="P19" i="74"/>
  <c r="P11" i="74"/>
  <c r="P3" i="74"/>
  <c r="P6" i="76"/>
  <c r="P9" i="77"/>
  <c r="P14" i="78"/>
  <c r="P6" i="78"/>
  <c r="P15" i="80"/>
</calcChain>
</file>

<file path=xl/sharedStrings.xml><?xml version="1.0" encoding="utf-8"?>
<sst xmlns="http://schemas.openxmlformats.org/spreadsheetml/2006/main" count="4537" uniqueCount="2254">
  <si>
    <t>OMB Control Number: 0694-0119</t>
  </si>
  <si>
    <t>SCOPE OF ASSESSMENT</t>
  </si>
  <si>
    <t>RESPONSE TO THIS SURVEY IS REQUIRED BY LAW</t>
  </si>
  <si>
    <t>BURDEN ESTIMATE AND REQUEST FOR COMMENT</t>
  </si>
  <si>
    <t>BUSINESS CONFIDENTIAL - Per Section 705(d) of the Defense Production Act</t>
  </si>
  <si>
    <t>A.</t>
  </si>
  <si>
    <t>B.</t>
  </si>
  <si>
    <t>C.</t>
  </si>
  <si>
    <t>D.</t>
  </si>
  <si>
    <t>E.</t>
  </si>
  <si>
    <t>F.</t>
  </si>
  <si>
    <t>G.</t>
  </si>
  <si>
    <t>Term</t>
  </si>
  <si>
    <t>Definition</t>
  </si>
  <si>
    <t>Applied Research</t>
  </si>
  <si>
    <t>Authorizing Official</t>
  </si>
  <si>
    <t>Executive officer of the organization or business unit or other individual who has the authority to execute this survey on behalf of the organization.</t>
  </si>
  <si>
    <t>Basic Research</t>
  </si>
  <si>
    <t>Systematic, scientific study directed toward greater knowledge or understanding of the fundamental aspects of phenomena and of observable facts.</t>
  </si>
  <si>
    <t>Commercial and Government Entity (CAGE) Code</t>
  </si>
  <si>
    <t>Customer</t>
  </si>
  <si>
    <t>Data Universal Numbering System (DUNS)</t>
  </si>
  <si>
    <t>Full Time Equivalent (FTE) Employees</t>
  </si>
  <si>
    <t>North American Industry Classification System (NAICS) Code</t>
  </si>
  <si>
    <t>Product/Process Development</t>
  </si>
  <si>
    <t>Conceptualization and development of a product prior to the production of the product for customers.</t>
  </si>
  <si>
    <t xml:space="preserve">Service </t>
  </si>
  <si>
    <t>An intangible product (contrasted to a good, which is a tangible product).  Services typically cannot be stored or transported, are instantly perishable, and come into existence at the time they are bought and consumed.</t>
  </si>
  <si>
    <t>Single Source</t>
  </si>
  <si>
    <t>An organization that is designated as the only accepted source for the supply of parts, components, materials, or services, even though other sources with equivalent technical know-how and production capability may exist.</t>
  </si>
  <si>
    <t>Sole Source</t>
  </si>
  <si>
    <t>Supplier</t>
  </si>
  <si>
    <t>An entity from which your organization obtains inputs.  A supplier may be another firm with which you have a contractual relationship, or it may be another facility owned by the same parent organization. The inputs may be goods or services.</t>
  </si>
  <si>
    <t>United States</t>
  </si>
  <si>
    <t>The "United States" or "U.S." includes the 50 states, Puerto Rico, the District of Columbia, the island of Guam, the Trust Territories, and the U.S. Virgin Islands.</t>
  </si>
  <si>
    <t>Organization Name</t>
  </si>
  <si>
    <t>Street Address</t>
  </si>
  <si>
    <t>City</t>
  </si>
  <si>
    <t>State</t>
  </si>
  <si>
    <t>Zip Code</t>
  </si>
  <si>
    <t>Website</t>
  </si>
  <si>
    <t>Phone Number</t>
  </si>
  <si>
    <t>Country</t>
  </si>
  <si>
    <t>Postal Code/Zip Code</t>
  </si>
  <si>
    <t>Point of Contact regarding this survey:</t>
  </si>
  <si>
    <t>Name</t>
  </si>
  <si>
    <t>Title</t>
  </si>
  <si>
    <t>E-mail Address</t>
  </si>
  <si>
    <t>Comments:</t>
  </si>
  <si>
    <t>A small business enterprise (as defined by the Small Business Administration)</t>
  </si>
  <si>
    <t>8(a) Firm (as defined by the Small Business Administration)</t>
  </si>
  <si>
    <t>A historically underutilized business zone (HUBZone)</t>
  </si>
  <si>
    <t>A minority-owned business</t>
  </si>
  <si>
    <t>A woman-owned business</t>
  </si>
  <si>
    <t>Reporting Schedule:</t>
  </si>
  <si>
    <t>1.</t>
  </si>
  <si>
    <t>2.</t>
  </si>
  <si>
    <t>3.</t>
  </si>
  <si>
    <t>4.</t>
  </si>
  <si>
    <t>5.</t>
  </si>
  <si>
    <t>Taxes</t>
  </si>
  <si>
    <t>There are many federal and state government programs and services available to assist your organization to better compete in the global marketplace.  If your organization would like more information regarding these government programs, select the specific areas of interest below.  The Commerce Department will follow-up with your organization regarding your selections.</t>
  </si>
  <si>
    <t>Small Business Innovation Research (SBIR) and Small Business Technology Transfer (STTR) contracts</t>
  </si>
  <si>
    <t>Income Statement (Select Line Items)</t>
  </si>
  <si>
    <t>Net Sales (and other revenue)</t>
  </si>
  <si>
    <t>Cost of Goods Sold</t>
  </si>
  <si>
    <t>Total Operating Income (Loss)</t>
  </si>
  <si>
    <t>Earnings Before Interest and Taxes</t>
  </si>
  <si>
    <t>Net Income</t>
  </si>
  <si>
    <t>Balance Sheet (Select Line Items)</t>
  </si>
  <si>
    <t>Cash</t>
  </si>
  <si>
    <t>Inventories</t>
  </si>
  <si>
    <t>Total Current Assets</t>
  </si>
  <si>
    <t>Total Assets</t>
  </si>
  <si>
    <t>Total Current Liabilities</t>
  </si>
  <si>
    <t>Total Liabilities</t>
  </si>
  <si>
    <t>Retained Earnings</t>
  </si>
  <si>
    <t>H.</t>
  </si>
  <si>
    <t>Total Owner's Equity</t>
  </si>
  <si>
    <t>Department of Energy (DOE)</t>
  </si>
  <si>
    <t>National Aeronautics &amp; Space Administration (NASA)</t>
  </si>
  <si>
    <t>Top U.S.-Based Customers</t>
  </si>
  <si>
    <t>Customer Name</t>
  </si>
  <si>
    <t>Type of Customer</t>
  </si>
  <si>
    <t>Customer City</t>
  </si>
  <si>
    <t>Customer State</t>
  </si>
  <si>
    <t>6.</t>
  </si>
  <si>
    <t>7.</t>
  </si>
  <si>
    <t>8.</t>
  </si>
  <si>
    <t>9.</t>
  </si>
  <si>
    <t>10.</t>
  </si>
  <si>
    <t>Customer Country</t>
  </si>
  <si>
    <t>Primary CAGE Code</t>
  </si>
  <si>
    <t>Record in $ Thousands, e.g. $12,000.00 = survey input $12</t>
  </si>
  <si>
    <t>U.S.</t>
  </si>
  <si>
    <t>Non-U.S.</t>
  </si>
  <si>
    <t>A</t>
  </si>
  <si>
    <t>Type of Activity</t>
  </si>
  <si>
    <t>Year</t>
  </si>
  <si>
    <t>Primary Objective</t>
  </si>
  <si>
    <t>Organization/Entity Name</t>
  </si>
  <si>
    <t>Record $ in Thousands, e.g. $12,000.00 = survey input of $12</t>
  </si>
  <si>
    <t>Total R&amp;D Expenditures</t>
  </si>
  <si>
    <t>Total of 2 - 4 (must equal 100%)</t>
  </si>
  <si>
    <t>Total R&amp;D Funding Sources</t>
  </si>
  <si>
    <t>U.S. Government Agency</t>
  </si>
  <si>
    <t>Participation</t>
  </si>
  <si>
    <t>Other</t>
  </si>
  <si>
    <t>Data Universal Numbering System (DUNS) Code(s)</t>
  </si>
  <si>
    <t>(Identify Agency)</t>
  </si>
  <si>
    <t>Aging equipment, facilities, or infrastructure</t>
  </si>
  <si>
    <t>B</t>
  </si>
  <si>
    <t>C</t>
  </si>
  <si>
    <t>I</t>
  </si>
  <si>
    <t>Organization's Internet Address</t>
  </si>
  <si>
    <t>Name of Authorizing Official</t>
  </si>
  <si>
    <t>Title of Authorizing Official</t>
  </si>
  <si>
    <t>Phone Number and Extension</t>
  </si>
  <si>
    <t>Date Certified</t>
  </si>
  <si>
    <t>In the box below, provide any additional comments or any other information you wish to include regarding this survey assessment.</t>
  </si>
  <si>
    <t>How many hours did it take to complete this survey?</t>
  </si>
  <si>
    <t>TABLE OF CONTENTS</t>
  </si>
  <si>
    <t>II</t>
  </si>
  <si>
    <t>III</t>
  </si>
  <si>
    <t>Section 7: Sales</t>
  </si>
  <si>
    <t>Joint Ventures</t>
  </si>
  <si>
    <t>11.</t>
  </si>
  <si>
    <t>12.</t>
  </si>
  <si>
    <t>13.</t>
  </si>
  <si>
    <t>14.</t>
  </si>
  <si>
    <t>15.</t>
  </si>
  <si>
    <t>Do not disclose any classified information in this survey form.</t>
  </si>
  <si>
    <t>Location</t>
  </si>
  <si>
    <t>Mergers, Acquisitions, Divestitures</t>
  </si>
  <si>
    <t>Design for Assembly</t>
  </si>
  <si>
    <t>Design for Manufacturability</t>
  </si>
  <si>
    <t>Energy and Environmentally Conscious Manufacturing</t>
  </si>
  <si>
    <t>Export Assistance</t>
  </si>
  <si>
    <t>Export Licensing (ITAR/EAR)</t>
  </si>
  <si>
    <t>Government Procurement Guidelines</t>
  </si>
  <si>
    <t>Market Expansion/Business Growth</t>
  </si>
  <si>
    <t>Product Design</t>
  </si>
  <si>
    <t>Prototyping</t>
  </si>
  <si>
    <t>Quality Management and Control</t>
  </si>
  <si>
    <t>Supply Chain Optimization</t>
  </si>
  <si>
    <t>Technology Acceleration</t>
  </si>
  <si>
    <t>Vendor/Material Sourcing</t>
  </si>
  <si>
    <t>Continuous Improvement/ 
Lean Manufacturing</t>
  </si>
  <si>
    <t>Yes</t>
  </si>
  <si>
    <t>No</t>
  </si>
  <si>
    <t>List Name</t>
  </si>
  <si>
    <t>YesNo</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</si>
  <si>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</si>
  <si>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</si>
  <si>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</si>
  <si>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</si>
  <si>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</si>
  <si>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</si>
  <si>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</si>
  <si>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</si>
  <si>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</si>
  <si>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</si>
  <si>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</si>
  <si>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</si>
  <si>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</si>
  <si>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</si>
  <si>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</si>
  <si>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</si>
  <si>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</si>
  <si>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</si>
  <si>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</si>
  <si>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</si>
  <si>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</si>
  <si>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</si>
  <si>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</si>
  <si>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</si>
  <si>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</si>
  <si>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</si>
  <si>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</si>
  <si>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</si>
  <si>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</si>
  <si>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</si>
  <si>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</si>
  <si>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</si>
  <si>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</si>
  <si>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</si>
  <si>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</si>
  <si>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</si>
  <si>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</si>
  <si>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</si>
  <si>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</si>
  <si>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</si>
  <si>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</si>
  <si>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</si>
  <si>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</si>
  <si>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</si>
  <si>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</si>
  <si>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</si>
  <si>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</si>
  <si>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</si>
  <si>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</si>
  <si>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</si>
  <si>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</si>
  <si>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Afghanistan</t>
  </si>
  <si>
    <t>Albania</t>
  </si>
  <si>
    <t>Algeria</t>
  </si>
  <si>
    <t>American Samoa</t>
  </si>
  <si>
    <t>Andorra</t>
  </si>
  <si>
    <t>Angola</t>
  </si>
  <si>
    <t>Anguilla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</si>
  <si>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</si>
  <si>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</si>
  <si>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</si>
  <si>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</si>
  <si>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</si>
  <si>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</si>
  <si>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</si>
  <si>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</si>
  <si>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</si>
  <si>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</si>
  <si>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</si>
  <si>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</si>
  <si>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</si>
  <si>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</si>
  <si>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</si>
  <si>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</si>
  <si>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</si>
  <si>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Botswana</t>
  </si>
  <si>
    <t>Brazil</t>
  </si>
  <si>
    <t>British Indian Ocean Territory</t>
  </si>
  <si>
    <t>Bulgaria</t>
  </si>
  <si>
    <t>Burkina Faso</t>
  </si>
  <si>
    <t>Burundi</t>
  </si>
  <si>
    <t>Cambodia</t>
  </si>
  <si>
    <t>Cameroon</t>
  </si>
  <si>
    <t>Canada</t>
  </si>
  <si>
    <t>Cayman Islands</t>
  </si>
  <si>
    <t>Central African Republic</t>
  </si>
  <si>
    <t>Chad</t>
  </si>
  <si>
    <t>Chile</t>
  </si>
  <si>
    <t>China</t>
  </si>
  <si>
    <t>Cocos (Keeling) Islands</t>
  </si>
  <si>
    <t>Colombia</t>
  </si>
  <si>
    <t>Comoros</t>
  </si>
  <si>
    <t>Cook Islands</t>
  </si>
  <si>
    <t>Costa Rica</t>
  </si>
  <si>
    <t>Croatia</t>
  </si>
  <si>
    <t>Cuba</t>
  </si>
  <si>
    <t>Cyprus</t>
  </si>
  <si>
    <t>Czech Republic</t>
  </si>
  <si>
    <t>Djibouti</t>
  </si>
  <si>
    <t>Dominica</t>
  </si>
  <si>
    <t>Dominican Republic</t>
  </si>
  <si>
    <t>Ecuador</t>
  </si>
  <si>
    <t>Egypt</t>
  </si>
  <si>
    <t>El Salvador</t>
  </si>
  <si>
    <t>Equatorial Guinea</t>
  </si>
  <si>
    <t>Eritrea</t>
  </si>
  <si>
    <t>Estonia</t>
  </si>
  <si>
    <t>Ethiopia</t>
  </si>
  <si>
    <t>Faroe Islands</t>
  </si>
  <si>
    <t>Fiji</t>
  </si>
  <si>
    <t>Finland</t>
  </si>
  <si>
    <t>France</t>
  </si>
  <si>
    <t>French Guiana</t>
  </si>
  <si>
    <t>French Polynesia</t>
  </si>
  <si>
    <t>Gabon</t>
  </si>
  <si>
    <t>Gambia</t>
  </si>
  <si>
    <t>Germany</t>
  </si>
  <si>
    <t>Ghana</t>
  </si>
  <si>
    <t>Gibraltar</t>
  </si>
  <si>
    <t>Greece</t>
  </si>
  <si>
    <t>Greenland</t>
  </si>
  <si>
    <t>Grenada</t>
  </si>
  <si>
    <t>Guadeloupe</t>
  </si>
  <si>
    <t>Guam</t>
  </si>
  <si>
    <t>Guatemala</t>
  </si>
  <si>
    <t>Guinea</t>
  </si>
  <si>
    <t>Guinea-Bissau</t>
  </si>
  <si>
    <t>Guyana</t>
  </si>
  <si>
    <t>Haiti</t>
  </si>
  <si>
    <t>Honduras</t>
  </si>
  <si>
    <t>Hong Kong</t>
  </si>
  <si>
    <t>Hungary</t>
  </si>
  <si>
    <t>Iceland</t>
  </si>
  <si>
    <t>India</t>
  </si>
  <si>
    <t>Indonesia</t>
  </si>
  <si>
    <t>Iraq</t>
  </si>
  <si>
    <t>Ireland</t>
  </si>
  <si>
    <t>Israel</t>
  </si>
  <si>
    <t>Italy</t>
  </si>
  <si>
    <t>Jamaica</t>
  </si>
  <si>
    <t>Japan</t>
  </si>
  <si>
    <t>Jordan</t>
  </si>
  <si>
    <t>Kazakhstan</t>
  </si>
  <si>
    <t>Kenya</t>
  </si>
  <si>
    <t>Kiribati</t>
  </si>
  <si>
    <t>Kuwait</t>
  </si>
  <si>
    <t>Kyrgyzstan</t>
  </si>
  <si>
    <t>Latvia</t>
  </si>
  <si>
    <t>Lebanon</t>
  </si>
  <si>
    <t>Lesotho</t>
  </si>
  <si>
    <t>Liberia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</si>
  <si>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</si>
  <si>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</si>
  <si>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</si>
  <si>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</si>
  <si>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</si>
  <si>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</si>
  <si>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</si>
  <si>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</si>
  <si>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</si>
  <si>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</si>
  <si>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</si>
  <si>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</si>
  <si>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</si>
  <si>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</si>
  <si>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</si>
  <si>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</si>
  <si>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</si>
  <si>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</si>
  <si>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</si>
  <si>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</si>
  <si>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</si>
  <si>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</si>
  <si>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</si>
  <si>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</si>
  <si>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</si>
  <si>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</si>
  <si>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</si>
  <si>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</si>
  <si>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</si>
  <si>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</si>
  <si>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</si>
  <si>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</si>
  <si>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</si>
  <si>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</si>
  <si>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</si>
  <si>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</si>
  <si>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</si>
  <si>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</si>
  <si>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</si>
  <si>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</si>
  <si>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</si>
  <si>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</si>
  <si>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</si>
  <si>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Poland</t>
  </si>
  <si>
    <t>Portugal</t>
  </si>
  <si>
    <t>Puerto Rico</t>
  </si>
  <si>
    <t>Qatar</t>
  </si>
  <si>
    <t>Romania</t>
  </si>
  <si>
    <t>Rwanda</t>
  </si>
  <si>
    <t>Saint Helena</t>
  </si>
  <si>
    <t>Saint Lucia</t>
  </si>
  <si>
    <t>San Marino</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</si>
  <si>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</si>
  <si>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</si>
  <si>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</si>
  <si>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</si>
  <si>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</si>
  <si>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</si>
  <si>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</si>
  <si>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</si>
  <si>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</si>
  <si>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</si>
  <si>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</si>
  <si>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</si>
  <si>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</si>
  <si>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</si>
  <si>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</si>
  <si>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</si>
  <si>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</si>
  <si>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</si>
  <si>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Tajikistan</t>
  </si>
  <si>
    <t>Thailand</t>
  </si>
  <si>
    <t>Timor-Leste</t>
  </si>
  <si>
    <t>Togo</t>
  </si>
  <si>
    <t>Tokelau</t>
  </si>
  <si>
    <t>Tonga</t>
  </si>
  <si>
    <t>Tunisia</t>
  </si>
  <si>
    <t>Turkey</t>
  </si>
  <si>
    <t>Turkmenistan</t>
  </si>
  <si>
    <t>Tuvalu</t>
  </si>
  <si>
    <t>Uganda</t>
  </si>
  <si>
    <t>Ukraine</t>
  </si>
  <si>
    <t>United Arab Emirates</t>
  </si>
  <si>
    <t>United Kingdom</t>
  </si>
  <si>
    <t>United States Minor Outlying Islands</t>
  </si>
  <si>
    <t>Uruguay</t>
  </si>
  <si>
    <t>Uzbekistan</t>
  </si>
  <si>
    <t>Vanuatu</t>
  </si>
  <si>
    <t>Venezuela</t>
  </si>
  <si>
    <t>Western Sahara</t>
  </si>
  <si>
    <t>Zambia</t>
  </si>
  <si>
    <t>Zimbabwe</t>
  </si>
  <si>
    <t>YesNoUnk</t>
  </si>
  <si>
    <t>Unknown</t>
  </si>
  <si>
    <t>YesNoNA</t>
  </si>
  <si>
    <t>Not Applicable</t>
  </si>
  <si>
    <t>PubPriv</t>
  </si>
  <si>
    <t>Publicly Traded</t>
  </si>
  <si>
    <t>Privately Held</t>
  </si>
  <si>
    <t>PrimAdd</t>
  </si>
  <si>
    <t>Primary Business Line</t>
  </si>
  <si>
    <t>Additional Business Line</t>
  </si>
  <si>
    <t>(specify here)</t>
  </si>
  <si>
    <t>Merger</t>
  </si>
  <si>
    <t>Acquisition</t>
  </si>
  <si>
    <t>Divestiture</t>
  </si>
  <si>
    <t>MAD</t>
  </si>
  <si>
    <t>Access to government contracts</t>
  </si>
  <si>
    <t>Access to intellectual property</t>
  </si>
  <si>
    <t>Bankruptcy restructuring/litigation</t>
  </si>
  <si>
    <t>Broaden customer base</t>
  </si>
  <si>
    <t>Develop new capabilities</t>
  </si>
  <si>
    <t>R&amp;D access/coordination</t>
  </si>
  <si>
    <t>Objectives</t>
  </si>
  <si>
    <t>Defense</t>
  </si>
  <si>
    <t>Commercial</t>
  </si>
  <si>
    <t>Both</t>
  </si>
  <si>
    <t>EndUse</t>
  </si>
  <si>
    <t>ExportControl</t>
  </si>
  <si>
    <t>ITAR</t>
  </si>
  <si>
    <t>EAR</t>
  </si>
  <si>
    <t>Direct</t>
  </si>
  <si>
    <t>Indirect</t>
  </si>
  <si>
    <t>None</t>
  </si>
  <si>
    <t>SupportType</t>
  </si>
  <si>
    <t>OtherAgency</t>
  </si>
  <si>
    <t>NA</t>
  </si>
  <si>
    <t>AllAgencies</t>
  </si>
  <si>
    <t>SoleSingle</t>
  </si>
  <si>
    <t>Neither</t>
  </si>
  <si>
    <t>Level</t>
  </si>
  <si>
    <t>Corporate/Whole Organization</t>
  </si>
  <si>
    <t>Division/Business Unit</t>
  </si>
  <si>
    <t>Calendar Year</t>
  </si>
  <si>
    <t>Fiscal Year</t>
  </si>
  <si>
    <t>YearType</t>
  </si>
  <si>
    <t>CustomerType</t>
  </si>
  <si>
    <t>Government Non-Defense</t>
  </si>
  <si>
    <t>University/Non-Profit</t>
  </si>
  <si>
    <t>Section 2: Mergers, Acquisitions, Divestitures, and Joint Ventures</t>
  </si>
  <si>
    <t>Provide the following information for your parent organization(s), if applicable.</t>
  </si>
  <si>
    <t>Indicate if your organization qualifies as any of the following types of business:</t>
  </si>
  <si>
    <t>Identify your organization's current joint venture relationships, including public/private R&amp;D partnerships.  Be sure to provide a description of the joint venture's purpose (e.g. patent licensing, co-production, product integration, after-market support, etc.):</t>
  </si>
  <si>
    <t>Source of Sales Data:</t>
  </si>
  <si>
    <t>Cyber Security</t>
  </si>
  <si>
    <t>Explain:</t>
  </si>
  <si>
    <t>Type of Issue</t>
  </si>
  <si>
    <t>-Yes/No-</t>
  </si>
  <si>
    <t>Rank Top 5</t>
  </si>
  <si>
    <t>Aging workforce</t>
  </si>
  <si>
    <t>Counterfeit parts</t>
  </si>
  <si>
    <t>State/Province</t>
  </si>
  <si>
    <t xml:space="preserve"> </t>
  </si>
  <si>
    <t>All</t>
  </si>
  <si>
    <t>Most</t>
  </si>
  <si>
    <t>Some</t>
  </si>
  <si>
    <t>Few</t>
  </si>
  <si>
    <t>HowMany</t>
  </si>
  <si>
    <t>Primary Purpose of Relationship</t>
  </si>
  <si>
    <t>JVReason</t>
  </si>
  <si>
    <t>Product Only</t>
  </si>
  <si>
    <t>Service Only</t>
  </si>
  <si>
    <t>Employees who work for 40 hours in a normal work week.  Convert part-time employees into "full time equivalents" by taking their work hours as a fraction of 40 hours.</t>
  </si>
  <si>
    <t>Is your organization publicly traded or privately held?</t>
  </si>
  <si>
    <t>If your organization is publicly traded, identify its stock ticker symbol.</t>
  </si>
  <si>
    <t>Explain</t>
  </si>
  <si>
    <t>Tax-related</t>
  </si>
  <si>
    <t>Other objective/purpose (Explain)</t>
  </si>
  <si>
    <t>Access to financial resources</t>
  </si>
  <si>
    <t>Access to suppliers</t>
  </si>
  <si>
    <t>Access to technological resources</t>
  </si>
  <si>
    <t>Creation of new technologies</t>
  </si>
  <si>
    <t>Improved access to foreign markets</t>
  </si>
  <si>
    <t>Improved access to U.S. markets</t>
  </si>
  <si>
    <t>Product improvements</t>
  </si>
  <si>
    <t>Reduced costs</t>
  </si>
  <si>
    <t>Reduced lead times</t>
  </si>
  <si>
    <t>Risk sharing</t>
  </si>
  <si>
    <t>Shared/improved technology or skills</t>
  </si>
  <si>
    <t>USG Program Identification</t>
  </si>
  <si>
    <t>Government Defense</t>
  </si>
  <si>
    <t>LocPar</t>
  </si>
  <si>
    <t>Parent</t>
  </si>
  <si>
    <t>Next Page</t>
  </si>
  <si>
    <t>Previous Page</t>
  </si>
  <si>
    <t>Internal IT Department</t>
  </si>
  <si>
    <t>Internal IT Department and U.S. external provider(s)</t>
  </si>
  <si>
    <t>Internal IT Department and non-U.S. external provider(s)</t>
  </si>
  <si>
    <t>Internal IT Department and U.S. and non-U.S. external provider(s)</t>
  </si>
  <si>
    <t xml:space="preserve">Only U.S. external provider(s) </t>
  </si>
  <si>
    <t xml:space="preserve">Only non-U.S. external provider(s) </t>
  </si>
  <si>
    <t>U.S. and non-U.S. external provider(s)</t>
  </si>
  <si>
    <t>NetOps</t>
  </si>
  <si>
    <t>Year Initiated</t>
  </si>
  <si>
    <t>Explanation</t>
  </si>
  <si>
    <t>Yes/No</t>
  </si>
  <si>
    <t>xx</t>
  </si>
  <si>
    <t>Verification Metrics</t>
  </si>
  <si>
    <t>Sales/Net Sales</t>
  </si>
  <si>
    <t>Revenue per Employee</t>
  </si>
  <si>
    <t>Income Progression</t>
  </si>
  <si>
    <t>Cash/Current Assets</t>
  </si>
  <si>
    <t>Current/Total Assets</t>
  </si>
  <si>
    <t>Current/Total Liabilities</t>
  </si>
  <si>
    <t>R&amp;D Sources</t>
  </si>
  <si>
    <t>Source of Income Statement Items:</t>
  </si>
  <si>
    <t>Source of Balance Sheet Items:</t>
  </si>
  <si>
    <t>Occupation</t>
  </si>
  <si>
    <t>Hiring</t>
  </si>
  <si>
    <t>Retaining</t>
  </si>
  <si>
    <t>DiffWorkforce</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</si>
  <si>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 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</si>
  <si>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Section I: GENERAL INSTRUCTIONS</t>
  </si>
  <si>
    <t>Section II: Definitions</t>
  </si>
  <si>
    <t>Estimates are often acceptable (and in some sections encouraged), but in sections that do not explicitly allow estimates you must contact BIS survey support staff before including estimates.</t>
  </si>
  <si>
    <t>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</si>
  <si>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r>
      <t xml:space="preserve">Commercial and Government Entity (CAGE) Code identifies companies doing or wishing to do business with the U.S. Federal Government.  The code is used to support mechanized government systems and provides a standardized method of identifying a given facility at a specific location. Find CAGE codes at </t>
    </r>
    <r>
      <rPr>
        <u/>
        <sz val="10"/>
        <color indexed="12"/>
        <rFont val="Arial"/>
        <family val="2"/>
      </rPr>
      <t>http://www.logisticsinformationservice.dla.mil/BINCS/begin_search.aspx</t>
    </r>
    <r>
      <rPr>
        <sz val="10"/>
        <rFont val="Arial"/>
        <family val="2"/>
      </rPr>
      <t>.</t>
    </r>
  </si>
  <si>
    <r>
      <t xml:space="preserve">A nine-digit numbering system that uniquely identifies an individual business. Find DUNS numbers at </t>
    </r>
    <r>
      <rPr>
        <u/>
        <sz val="10"/>
        <color indexed="12"/>
        <rFont val="Arial"/>
        <family val="2"/>
      </rPr>
      <t>http://fedgov.dnb.com/webform</t>
    </r>
    <r>
      <rPr>
        <sz val="10"/>
        <rFont val="Arial"/>
        <family val="2"/>
      </rPr>
      <t>.</t>
    </r>
  </si>
  <si>
    <r>
      <t xml:space="preserve">North American Industry Classification System (NAICS) codes identify the category of product(s) or service(s) provided by an organization.  Find NAICS codes at </t>
    </r>
    <r>
      <rPr>
        <u/>
        <sz val="10"/>
        <color indexed="12"/>
        <rFont val="Arial"/>
        <family val="2"/>
      </rPr>
      <t>http://www.census.gov/epcd/www/naics.html</t>
    </r>
  </si>
  <si>
    <t>An organization that is the only source for the supply of parts, components, materials, or services. No alternative U.S. or non-U.S. based suppliers exist other than the current supplier.</t>
  </si>
  <si>
    <t>Top Non-U.S.-Based Customers</t>
  </si>
  <si>
    <r>
      <t xml:space="preserve">Basic Research </t>
    </r>
    <r>
      <rPr>
        <sz val="8"/>
        <rFont val="Arial"/>
        <family val="2"/>
      </rPr>
      <t>(as a percent of B1)</t>
    </r>
  </si>
  <si>
    <r>
      <t xml:space="preserve">Applied Research </t>
    </r>
    <r>
      <rPr>
        <sz val="8"/>
        <rFont val="Arial"/>
        <family val="2"/>
      </rPr>
      <t>(as a percent of B1)</t>
    </r>
  </si>
  <si>
    <r>
      <t xml:space="preserve">Product/Process Development </t>
    </r>
    <r>
      <rPr>
        <sz val="8"/>
        <rFont val="Arial"/>
        <family val="2"/>
      </rPr>
      <t>(as a percent of B1)</t>
    </r>
  </si>
  <si>
    <r>
      <t xml:space="preserve">Internal/Self-Funded/IRAD </t>
    </r>
    <r>
      <rPr>
        <sz val="8"/>
        <rFont val="Arial"/>
        <family val="2"/>
      </rPr>
      <t>(as a percent of C1)</t>
    </r>
  </si>
  <si>
    <r>
      <t xml:space="preserve">Total Federal Government </t>
    </r>
    <r>
      <rPr>
        <sz val="8"/>
        <rFont val="Arial"/>
        <family val="2"/>
      </rPr>
      <t>(as a percent of C1)</t>
    </r>
  </si>
  <si>
    <r>
      <t xml:space="preserve">Total State and Local Government </t>
    </r>
    <r>
      <rPr>
        <sz val="8"/>
        <rFont val="Arial"/>
        <family val="2"/>
      </rPr>
      <t>(as a percent of C1)</t>
    </r>
  </si>
  <si>
    <r>
      <t xml:space="preserve">Universities - Public and Private </t>
    </r>
    <r>
      <rPr>
        <sz val="8"/>
        <rFont val="Arial"/>
        <family val="2"/>
      </rPr>
      <t>(as a percent of C1)</t>
    </r>
  </si>
  <si>
    <r>
      <t xml:space="preserve">U.S. Industry, Venture Capital, Non-Profit </t>
    </r>
    <r>
      <rPr>
        <sz val="8"/>
        <rFont val="Arial"/>
        <family val="2"/>
      </rPr>
      <t>(as a percent of C1)</t>
    </r>
  </si>
  <si>
    <r>
      <t xml:space="preserve">Non-U.S. Investors </t>
    </r>
    <r>
      <rPr>
        <sz val="8"/>
        <rFont val="Arial"/>
        <family val="2"/>
      </rPr>
      <t>(as a percent of C1)</t>
    </r>
  </si>
  <si>
    <t>Cyber security</t>
  </si>
  <si>
    <t>Export controls/ITAR &amp; EAR</t>
  </si>
  <si>
    <t>Government acquisition process</t>
  </si>
  <si>
    <t>Government purchasing volatility</t>
  </si>
  <si>
    <t>Government regulatory burden</t>
  </si>
  <si>
    <t>Intellectual property/patent infringement</t>
  </si>
  <si>
    <t>Labor availability/costs</t>
  </si>
  <si>
    <t>Obsolescence</t>
  </si>
  <si>
    <t>Pension costs</t>
  </si>
  <si>
    <t>Proximity to customers</t>
  </si>
  <si>
    <t>Proximity to suppliers</t>
  </si>
  <si>
    <t>Qualifications/certifications</t>
  </si>
  <si>
    <t>R&amp;D costs</t>
  </si>
  <si>
    <t>Reduction in USG demand</t>
  </si>
  <si>
    <t>Worker/skills retention</t>
  </si>
  <si>
    <t>Cyber, Physical Expenditures</t>
  </si>
  <si>
    <t>Completion Estimate</t>
  </si>
  <si>
    <t>Expiration Date: [     ]</t>
  </si>
  <si>
    <t xml:space="preserve">How many joint ventures does your organization currently participate in? </t>
  </si>
  <si>
    <t>Rigid</t>
  </si>
  <si>
    <t>Flex</t>
  </si>
  <si>
    <t>Rigid-Flex</t>
  </si>
  <si>
    <t>Antigua and Barbuda</t>
  </si>
  <si>
    <t>Bosnia and Herzegovina</t>
  </si>
  <si>
    <t>British Virgin Islands</t>
  </si>
  <si>
    <t>Brunei</t>
  </si>
  <si>
    <t>Burma (Myanmar)</t>
  </si>
  <si>
    <t>Cabo Verde</t>
  </si>
  <si>
    <t>Christmas Island (in the Indian Ocean)</t>
  </si>
  <si>
    <t>Congo (Kinshasa)</t>
  </si>
  <si>
    <t>Congo (Brazzaville)</t>
  </si>
  <si>
    <t>Cote d'Ivoire</t>
  </si>
  <si>
    <t>Curacao</t>
  </si>
  <si>
    <t>Denmark, except Greenland</t>
  </si>
  <si>
    <t>Falkland Islands (Islas Malvinas)</t>
  </si>
  <si>
    <t>French Southern and Antarctic Lands</t>
  </si>
  <si>
    <t>Gaza Strip administered by Israel</t>
  </si>
  <si>
    <t>Heard Island and McDonald Islands</t>
  </si>
  <si>
    <t>Holy See (Vatican City)</t>
  </si>
  <si>
    <t>Iran</t>
  </si>
  <si>
    <t>Kosovo</t>
  </si>
  <si>
    <t>Laos (Lao People's Democratic Republic)</t>
  </si>
  <si>
    <t>Libya</t>
  </si>
  <si>
    <t>Macedonia</t>
  </si>
  <si>
    <t>Micronesia, Federated States of</t>
  </si>
  <si>
    <t>Moldova (Republic of Moldova)</t>
  </si>
  <si>
    <t>North Korea (DPRK)</t>
  </si>
  <si>
    <t>Pitcairn Islands</t>
  </si>
  <si>
    <t>Reunion</t>
  </si>
  <si>
    <t>Russia</t>
  </si>
  <si>
    <t>Saint Kitts and Nevis</t>
  </si>
  <si>
    <t>Saint Pierre and Miquelon</t>
  </si>
  <si>
    <t>Saint Vincent and the Grenadines</t>
  </si>
  <si>
    <t>Samoa (Western Samoa)</t>
  </si>
  <si>
    <t>Sao Tome and Principe</t>
  </si>
  <si>
    <t>Sint Maarten</t>
  </si>
  <si>
    <t>South Korea (ROK)</t>
  </si>
  <si>
    <t>South Sudan</t>
  </si>
  <si>
    <t>Svalbard and Jan Mayen</t>
  </si>
  <si>
    <t>Syria (Syrian Arab Republic)</t>
  </si>
  <si>
    <t>Taiwan</t>
  </si>
  <si>
    <t>Tanzania (United Republic of Tanzania)</t>
  </si>
  <si>
    <t>Trinidad and Tobago</t>
  </si>
  <si>
    <t>Turks and Caicos Islands</t>
  </si>
  <si>
    <t>Vietnam</t>
  </si>
  <si>
    <t>Virgin Islands of the United States</t>
  </si>
  <si>
    <t>Wallis and Futuna</t>
  </si>
  <si>
    <t>West Bank administered by Israel</t>
  </si>
  <si>
    <t>Yemen (Republic of Yemen)</t>
  </si>
  <si>
    <t>U.S. Air Force</t>
  </si>
  <si>
    <t>U.S. Army</t>
  </si>
  <si>
    <t>Missile Defense Agency (MDA)</t>
  </si>
  <si>
    <t>U.S. Marine Corps</t>
  </si>
  <si>
    <t>U.S. Navy</t>
  </si>
  <si>
    <t>National Oceanic &amp; Atmospheric Administration (NOAA)</t>
  </si>
  <si>
    <t>U.S. Intelligence Community 
(such as CIA, NGA, NRO, NSA)</t>
  </si>
  <si>
    <t>USG Agency Support</t>
  </si>
  <si>
    <t>Entity Name</t>
  </si>
  <si>
    <t>Percent of Company Held</t>
  </si>
  <si>
    <t>Automotive</t>
  </si>
  <si>
    <t>Aerospace</t>
  </si>
  <si>
    <t>Communications</t>
  </si>
  <si>
    <t>Computers/Business Equipment</t>
  </si>
  <si>
    <t>Industrial Electronics</t>
  </si>
  <si>
    <t>Medical/Healthcare</t>
  </si>
  <si>
    <t>Marine (surface and underwater)</t>
  </si>
  <si>
    <t>Space</t>
  </si>
  <si>
    <t>Primary End Use</t>
  </si>
  <si>
    <t>PrimaryEndUse</t>
  </si>
  <si>
    <t>PrimaryBusOpp</t>
  </si>
  <si>
    <t>Prime contractors</t>
  </si>
  <si>
    <t>Federal web site</t>
  </si>
  <si>
    <t>DOD Queries</t>
  </si>
  <si>
    <t>Word of Mouth</t>
  </si>
  <si>
    <t>Insufficient dollar value of job</t>
  </si>
  <si>
    <t>Insufficient dollar value of recurring business opportunity</t>
  </si>
  <si>
    <t>Complexity of job</t>
  </si>
  <si>
    <t>Other criteria</t>
  </si>
  <si>
    <t>Section 3a: Customers</t>
  </si>
  <si>
    <t>Section 3b: Competitors</t>
  </si>
  <si>
    <t>Environmental Compliance Costs</t>
  </si>
  <si>
    <t>Materials Costs</t>
  </si>
  <si>
    <t>Equipment Costs</t>
  </si>
  <si>
    <t>Building Space Costs</t>
  </si>
  <si>
    <t>R&amp;D Costs</t>
  </si>
  <si>
    <t>Supply of Skilled Workers</t>
  </si>
  <si>
    <t>Export Controls</t>
  </si>
  <si>
    <t>Overall Finished Board Price</t>
  </si>
  <si>
    <t>Quality</t>
  </si>
  <si>
    <t>Performance</t>
  </si>
  <si>
    <t>Reduced Process Variability</t>
  </si>
  <si>
    <t>Reduced Cost</t>
  </si>
  <si>
    <t>Increased Yield</t>
  </si>
  <si>
    <t>Factor</t>
  </si>
  <si>
    <t>Location with Advantage</t>
  </si>
  <si>
    <t>Competitor Name</t>
  </si>
  <si>
    <t>Primary Competitive Attribute</t>
  </si>
  <si>
    <t>Section 5a: Manufacturing Capabilities</t>
  </si>
  <si>
    <t>Rigid-Flex Hybrid Boards</t>
  </si>
  <si>
    <t>Hot air solder level lead-free</t>
  </si>
  <si>
    <t>LPI solder mask</t>
  </si>
  <si>
    <t>Dry film solder mask</t>
  </si>
  <si>
    <t>Automated electroless copper plating</t>
  </si>
  <si>
    <t>Automated electrolytic copper plating</t>
  </si>
  <si>
    <t>Direct metallization plating</t>
  </si>
  <si>
    <t>Hot air solder level tin-lead</t>
  </si>
  <si>
    <t>Direct imaging</t>
  </si>
  <si>
    <t>Laser ablation</t>
  </si>
  <si>
    <t>Circuit layers</t>
  </si>
  <si>
    <t>Sequential laminations</t>
  </si>
  <si>
    <t>Impedance structures</t>
  </si>
  <si>
    <t>This facility</t>
  </si>
  <si>
    <t>Other company-owned U.S. facilities</t>
  </si>
  <si>
    <t>Other company-owned non-U.S. facilities</t>
  </si>
  <si>
    <t>Contractor-operated U.S. facilities</t>
  </si>
  <si>
    <t>Contractor-operated non-U.S. facilities</t>
  </si>
  <si>
    <t>Process Method</t>
  </si>
  <si>
    <t>Maximum per Board</t>
  </si>
  <si>
    <t>Stacked micro vias</t>
  </si>
  <si>
    <t>Staggered micro vias</t>
  </si>
  <si>
    <t>Etchback</t>
  </si>
  <si>
    <t>Chemical smear removal</t>
  </si>
  <si>
    <t>Micro-via solid copper fill</t>
  </si>
  <si>
    <t>Plasma etch</t>
  </si>
  <si>
    <t>Laser via formation</t>
  </si>
  <si>
    <t>Nonconductive via fill</t>
  </si>
  <si>
    <t>Laser-formed micro via</t>
  </si>
  <si>
    <t>Mechanically drilled via: through-board</t>
  </si>
  <si>
    <t>Mechanically drilled via: controlled-depth</t>
  </si>
  <si>
    <t>Maximum aspect ratio</t>
  </si>
  <si>
    <t>Drilling Process</t>
  </si>
  <si>
    <t>Via Formation</t>
  </si>
  <si>
    <t>External Layer: Standard</t>
  </si>
  <si>
    <t>External Layer: Minimum</t>
  </si>
  <si>
    <t>Internal Layer: Standard</t>
  </si>
  <si>
    <t>Internal Layer: Minimum</t>
  </si>
  <si>
    <t>Trace Width (in inches)</t>
  </si>
  <si>
    <t>Space Width (in inches)</t>
  </si>
  <si>
    <t>Source of Workforce Data:</t>
  </si>
  <si>
    <t/>
  </si>
  <si>
    <t>a</t>
  </si>
  <si>
    <t>b</t>
  </si>
  <si>
    <t>c</t>
  </si>
  <si>
    <t>d</t>
  </si>
  <si>
    <t>e</t>
  </si>
  <si>
    <t>f</t>
  </si>
  <si>
    <t>g</t>
  </si>
  <si>
    <t>h</t>
  </si>
  <si>
    <t>Other (specify)</t>
  </si>
  <si>
    <t>i</t>
  </si>
  <si>
    <t>Lines a through i must total 100%</t>
  </si>
  <si>
    <t>MIL-PRF 55110</t>
  </si>
  <si>
    <t>MIL-PRF 31032</t>
  </si>
  <si>
    <t>ISO 9001</t>
  </si>
  <si>
    <t>AS 9100</t>
  </si>
  <si>
    <t>NADCAP</t>
  </si>
  <si>
    <t>IPC 1071</t>
  </si>
  <si>
    <t>IPC 6011</t>
  </si>
  <si>
    <t>Standard</t>
  </si>
  <si>
    <t>Use</t>
  </si>
  <si>
    <t>FormalInform</t>
  </si>
  <si>
    <t>Formal Certification</t>
  </si>
  <si>
    <t>Informal Use</t>
  </si>
  <si>
    <t>InspMethod</t>
  </si>
  <si>
    <t>C=0</t>
  </si>
  <si>
    <t>Sampling</t>
  </si>
  <si>
    <t>100% Inspection</t>
  </si>
  <si>
    <t>Testing Form</t>
  </si>
  <si>
    <t>Flying Probe</t>
  </si>
  <si>
    <t>Isolation 250 Volts DC, 100 MegaOhm Minimum</t>
  </si>
  <si>
    <t>Continuity 10 Volts DC, 10 Ohm Maximum</t>
  </si>
  <si>
    <t>Interconnect Stress Testing (IST)</t>
  </si>
  <si>
    <t>Highly Accelerated Stress Testing (HAST)</t>
  </si>
  <si>
    <t>Highly Accelerated Life Testing (HALT)</t>
  </si>
  <si>
    <t>Highly Accelerated Thermal Shock (HATS)</t>
  </si>
  <si>
    <t>Test all end points, no phase testing</t>
  </si>
  <si>
    <t>Panels</t>
  </si>
  <si>
    <t>Inner Layers (Cores)</t>
  </si>
  <si>
    <t>For each of the years 2012-2015 estimate the average weekly number of inner layers (cores) and completed circuit board panels that this facility manufactured:</t>
  </si>
  <si>
    <t>Board Type</t>
  </si>
  <si>
    <t>Anticipated Change</t>
  </si>
  <si>
    <t>End Use</t>
  </si>
  <si>
    <t>Country 1</t>
  </si>
  <si>
    <t>Country 2</t>
  </si>
  <si>
    <t>Country 3</t>
  </si>
  <si>
    <t>Automated optical inspection (AOI)</t>
  </si>
  <si>
    <t>Drilling</t>
  </si>
  <si>
    <t>Electroless plating</t>
  </si>
  <si>
    <t>Electrolytic plating</t>
  </si>
  <si>
    <t>Electrical test</t>
  </si>
  <si>
    <t>Etching</t>
  </si>
  <si>
    <t>Front end engineering</t>
  </si>
  <si>
    <t>Inner layer pretreatment</t>
  </si>
  <si>
    <t>Imaging</t>
  </si>
  <si>
    <t>Lamination</t>
  </si>
  <si>
    <t>Bottleneck</t>
  </si>
  <si>
    <t>Identify the three biggest factors causing production bottlenecks at this facility.</t>
  </si>
  <si>
    <t>Material</t>
  </si>
  <si>
    <t>Sourcing Problems</t>
  </si>
  <si>
    <t>Availability is a Concern</t>
  </si>
  <si>
    <t>Laminate for use in flex boards</t>
  </si>
  <si>
    <t>Laminate for use in rigid-flex boards</t>
  </si>
  <si>
    <t>Copper foil</t>
  </si>
  <si>
    <t>Other foils</t>
  </si>
  <si>
    <t>Embedded passives, formed, resistors, and capacitors (active or passive) - tin-lead</t>
  </si>
  <si>
    <t>Embedded passives, formed, resistors, and capacitors (active or passive) - lead free</t>
  </si>
  <si>
    <t>Through-hole and via preparation for plating material</t>
  </si>
  <si>
    <t>Electrolytic plating material</t>
  </si>
  <si>
    <t>Via fill, conductive, and non-conductive material</t>
  </si>
  <si>
    <t>Finish materials</t>
  </si>
  <si>
    <t>Etchant</t>
  </si>
  <si>
    <t>Drill bits</t>
  </si>
  <si>
    <t>Section 6a: Materials &amp; Equipment</t>
  </si>
  <si>
    <t>Experienced Supply Chain Disruptions Since 2012</t>
  </si>
  <si>
    <t>Maintain extra inventory as a buffer against unexpected delays in material shipments and unanticipated new production orders.</t>
  </si>
  <si>
    <t>Minimize on-hand inventory of circuit board production materials.</t>
  </si>
  <si>
    <t>Equipment</t>
  </si>
  <si>
    <t>Estimated Average Age (in years)</t>
  </si>
  <si>
    <t>Primary Concern</t>
  </si>
  <si>
    <t>Photo film processing</t>
  </si>
  <si>
    <t>Final finish</t>
  </si>
  <si>
    <t>Photo resist application</t>
  </si>
  <si>
    <t>Photo resist exposure</t>
  </si>
  <si>
    <t>Photo resist exposure-laser</t>
  </si>
  <si>
    <t>Photo resist exposure-LED</t>
  </si>
  <si>
    <t>Develop etch &amp; strip equipment</t>
  </si>
  <si>
    <t>Automatic optical inspection</t>
  </si>
  <si>
    <t>Inner layer treatment &amp; layup</t>
  </si>
  <si>
    <t>Drilling - mechanical</t>
  </si>
  <si>
    <t>Desmear</t>
  </si>
  <si>
    <t>Electroless copper</t>
  </si>
  <si>
    <t>Electrolytic copper</t>
  </si>
  <si>
    <t>Chemical cleaning</t>
  </si>
  <si>
    <t>Soldermask</t>
  </si>
  <si>
    <t>Legend print</t>
  </si>
  <si>
    <t>Routing</t>
  </si>
  <si>
    <t>Electrical testing</t>
  </si>
  <si>
    <t>Quality control measurement</t>
  </si>
  <si>
    <t>Drilling - laser</t>
  </si>
  <si>
    <t>Via fill</t>
  </si>
  <si>
    <t>Scoring</t>
  </si>
  <si>
    <t>Availability</t>
  </si>
  <si>
    <t>Time to replace</t>
  </si>
  <si>
    <t>Total Government Sales [as a % of line A]</t>
  </si>
  <si>
    <t>Total Sales (in $)</t>
  </si>
  <si>
    <t>`</t>
  </si>
  <si>
    <t>Section 8: Financials</t>
  </si>
  <si>
    <t>Section 9a: Research &amp; Development</t>
  </si>
  <si>
    <t>If No, proceed to Section 10.</t>
  </si>
  <si>
    <t>Section 9b: Research &amp; Development (continued)</t>
  </si>
  <si>
    <t>Need for competitive advantage</t>
  </si>
  <si>
    <t>Customer requirements</t>
  </si>
  <si>
    <t>Industry roadmap</t>
  </si>
  <si>
    <t>Circuit Board-Related Full Time Equivalent (FTE) Employees</t>
  </si>
  <si>
    <t>Chemist</t>
  </si>
  <si>
    <t>Chemical Engineer</t>
  </si>
  <si>
    <t>Industrial Engineer</t>
  </si>
  <si>
    <t>Safety Engineer</t>
  </si>
  <si>
    <t>Graphic Arts Engineer</t>
  </si>
  <si>
    <t>CAM Software - Job Tooling Tech</t>
  </si>
  <si>
    <t>Imaging Tech</t>
  </si>
  <si>
    <t>Silk Screening Tech</t>
  </si>
  <si>
    <t>Plating Tech</t>
  </si>
  <si>
    <t>Electrical Testing Tech</t>
  </si>
  <si>
    <t>Mechanical Drilling Tech</t>
  </si>
  <si>
    <t>Laser Drilling Tech</t>
  </si>
  <si>
    <t>Testing Tech</t>
  </si>
  <si>
    <t>Applicable Working Experience</t>
  </si>
  <si>
    <t>Over 20 Years</t>
  </si>
  <si>
    <t>11-20 Years</t>
  </si>
  <si>
    <t>6-10 Years</t>
  </si>
  <si>
    <t>Five or Fewer Years</t>
  </si>
  <si>
    <t># of Employees</t>
  </si>
  <si>
    <t>% U.S. Citizens</t>
  </si>
  <si>
    <t>All Employees</t>
  </si>
  <si>
    <t>Paperwork/Requirements</t>
  </si>
  <si>
    <t>Slow Payment</t>
  </si>
  <si>
    <t>Small Production Lots</t>
  </si>
  <si>
    <t>Insufficient Profit Margin</t>
  </si>
  <si>
    <t>Infrequent Orders</t>
  </si>
  <si>
    <t>One-off orders</t>
  </si>
  <si>
    <t>Direct change in fixed costs per slash sheet</t>
  </si>
  <si>
    <t>Change in recurring costs for maintenance</t>
  </si>
  <si>
    <t>Added administrative cost of compliance</t>
  </si>
  <si>
    <t>Estimated Change Relative to MIL-P-50884C</t>
  </si>
  <si>
    <t>Estimated Change Relative to IPC-6012 Class 3</t>
  </si>
  <si>
    <t>Reduction in commercial demand</t>
  </si>
  <si>
    <t>Business Operation</t>
  </si>
  <si>
    <t>Impact of sudden DECREASE in USG Defense Demand</t>
  </si>
  <si>
    <t>What two key factors do you see driving such a consolidation?</t>
  </si>
  <si>
    <t>Section 15: Certification</t>
  </si>
  <si>
    <t>Section 14: Challenges and Outreach</t>
  </si>
  <si>
    <t>Section 11a: Workforce</t>
  </si>
  <si>
    <t>Section 11b: Workforce (continued)</t>
  </si>
  <si>
    <t>Section 12a: Competitive Factors</t>
  </si>
  <si>
    <t>Section 12c: Competitive Factors (continued)</t>
  </si>
  <si>
    <t>Section 10: Capital Expenditures</t>
  </si>
  <si>
    <t>Source of Capital Expenditure Data:</t>
  </si>
  <si>
    <t>Capital Expenditure Reporting Schedule:</t>
  </si>
  <si>
    <t>Capital Expenditure Category</t>
  </si>
  <si>
    <t>Total Capital Expenditures</t>
  </si>
  <si>
    <t>Machinery, Equipment, and Vehicles [as a % of A]</t>
  </si>
  <si>
    <t>IT, Computers, Software [as a % of A]</t>
  </si>
  <si>
    <t>Lines 1 through 5 must total 100%</t>
  </si>
  <si>
    <t>Description</t>
  </si>
  <si>
    <t>Land, Buildings, and Leasehold Improvements [as a % of A]</t>
  </si>
  <si>
    <t>Section 13a: Cyber Security</t>
  </si>
  <si>
    <t>Internal Network
(drop-down)</t>
  </si>
  <si>
    <t>Indicate who is responsible for your organization's internal IT networks:</t>
  </si>
  <si>
    <t xml:space="preserve">Indicate who is responsible for your organization's external IT networks: </t>
  </si>
  <si>
    <t>Customer/client information</t>
  </si>
  <si>
    <t>Financial information and records</t>
  </si>
  <si>
    <t>Human resources information/employee data</t>
  </si>
  <si>
    <t>Information subject to export control regulations (EAR and/or ITAR)</t>
  </si>
  <si>
    <t>Intellectual property related information</t>
  </si>
  <si>
    <t>Internal communications including negotiation points, merger and acquisition plans, and/or corporate strategy</t>
  </si>
  <si>
    <t>Manufacturing and production line information</t>
  </si>
  <si>
    <t>Patent and trademark information</t>
  </si>
  <si>
    <t>Regulatory/compliance information</t>
  </si>
  <si>
    <t xml:space="preserve">Research and development (R&amp;D) related information </t>
  </si>
  <si>
    <t>Supply chain and sourcing information</t>
  </si>
  <si>
    <t>Section 13b: Cyber Security (continued)</t>
  </si>
  <si>
    <t>External Cloud Service Providers</t>
  </si>
  <si>
    <t>External Data Storage Providers</t>
  </si>
  <si>
    <t>Impact</t>
  </si>
  <si>
    <t>Impact Level</t>
  </si>
  <si>
    <t>User idle time and lost productivity because of downtime or systems performance delays</t>
  </si>
  <si>
    <t>Disruption to normal operations because of system availability problems</t>
  </si>
  <si>
    <t>Damage or theft of IT assets and infrastructure</t>
  </si>
  <si>
    <t>Incurred cost of damage assessment and remediation</t>
  </si>
  <si>
    <t>Business interruption</t>
  </si>
  <si>
    <t>Exfiltration of CSI data</t>
  </si>
  <si>
    <t>Theft of personnel information</t>
  </si>
  <si>
    <t>Damage to software and/or source code</t>
  </si>
  <si>
    <t>Theft of software and/or source code</t>
  </si>
  <si>
    <t xml:space="preserve">Damage to company production capabilities or systems </t>
  </si>
  <si>
    <t>Destruction of information asset</t>
  </si>
  <si>
    <t>Reputation loss, market share, and brand damages</t>
  </si>
  <si>
    <t xml:space="preserve">Comments: </t>
  </si>
  <si>
    <t>If yes, what year is this facility expected to cease producing tin-lead circuit boards?</t>
  </si>
  <si>
    <t>Commercially Sensitive Information (CSI)</t>
  </si>
  <si>
    <t>Privileged or proprietary information which, if compromised through alteration, corruption, loss, misuse, or unauthorized disclosure, could cause serious harm to the organization owning it.</t>
  </si>
  <si>
    <t>Top U.S. Competitors</t>
  </si>
  <si>
    <t>Top Non-U.S. Competitors</t>
  </si>
  <si>
    <t>Section 4a: Participation in USG Programs</t>
  </si>
  <si>
    <t>Section 12b: Competitive Factors (continued)</t>
  </si>
  <si>
    <t>DOD adds circuit board laminate and related materials to the Defense National Stockpile</t>
  </si>
  <si>
    <t>DOD requirement that electronic systems (not ITAR controlled) use circuit boards made in manufacturing facilities located in the U.S.</t>
  </si>
  <si>
    <t>Expected Impact on Organization</t>
  </si>
  <si>
    <t>Facility Name</t>
  </si>
  <si>
    <t>Section III                                                             Respondent Profile</t>
  </si>
  <si>
    <t>Select the description that best identifies your organization:</t>
  </si>
  <si>
    <t>Design Capability</t>
  </si>
  <si>
    <t>Manufacture Capability</t>
  </si>
  <si>
    <t>Assembly Capability</t>
  </si>
  <si>
    <t>DEFENSE INDUSTRIAL BASE ASSESSMENT:
Bare Printed Circuit Board Manufacturers</t>
  </si>
  <si>
    <t>Facility/Organization Name</t>
  </si>
  <si>
    <t>Section 1a: Organization Information</t>
  </si>
  <si>
    <t>Parent Organization</t>
  </si>
  <si>
    <t>Parent Name</t>
  </si>
  <si>
    <t>Parent Primary CAGE Code</t>
  </si>
  <si>
    <t>Section 1c: Organization Information (continued)</t>
  </si>
  <si>
    <t>Commercial Market Segments</t>
  </si>
  <si>
    <t>Defense Market Segments</t>
  </si>
  <si>
    <t>Safety Requirements</t>
  </si>
  <si>
    <t>For each of the following factors, identify whether bare circuit board manufacturers located inside the U.S. or outside the U.S. possess competitive advantages.</t>
  </si>
  <si>
    <t>USG Program Name</t>
  </si>
  <si>
    <t>Department of Homeland Security (DHS)</t>
  </si>
  <si>
    <t>Bare Circuit Board Types Supporting USG Program</t>
  </si>
  <si>
    <t>Section 4b: USG Interactions</t>
  </si>
  <si>
    <t>Tin-Lead</t>
  </si>
  <si>
    <t>Estimate the 2015 rated weekly manufacturing capacity of this facility in units:</t>
  </si>
  <si>
    <t>Examples: Assuming little maintenance downtime, one 8-hour shift, 5 days per week is approximately 25% capacity utilization; two 8-hour shifts, 7 days per week is approximately 65% capacity utilization.</t>
  </si>
  <si>
    <t>Scenario:</t>
  </si>
  <si>
    <t>Availability or cost of workforce</t>
  </si>
  <si>
    <t>Quality control</t>
  </si>
  <si>
    <t>Availability of input materials</t>
  </si>
  <si>
    <t>Other (specify in explanation)</t>
  </si>
  <si>
    <t>Amount of equipment</t>
  </si>
  <si>
    <t>Availability of equipment</t>
  </si>
  <si>
    <t>Manufacturing space</t>
  </si>
  <si>
    <t>Rigid Multilayer Board</t>
  </si>
  <si>
    <t>Does this facility have its own staff on site to perform front-end engineering for manufacturing bare circuit boards?</t>
  </si>
  <si>
    <t>If yes, does your company notify customers in advance that it outsources front-end engineering for manufacturing bare circuit boards?</t>
  </si>
  <si>
    <t>Laminate for use in rigid conventional boards</t>
  </si>
  <si>
    <t>Laminate for use in rigid multilayer boards</t>
  </si>
  <si>
    <t>Laminate for use in rigid high speed, high frequency, and microwave boards</t>
  </si>
  <si>
    <t>Solder</t>
  </si>
  <si>
    <t>Manufacturers</t>
  </si>
  <si>
    <t>Source of R&amp;D Data:</t>
  </si>
  <si>
    <t>Priority</t>
  </si>
  <si>
    <t>IT/computers/software</t>
  </si>
  <si>
    <t>Difficulty</t>
  </si>
  <si>
    <t>Electrical Engineer</t>
  </si>
  <si>
    <t>Mechanical Engineer</t>
  </si>
  <si>
    <t>Identify the key workforce issues you anticipate in the next five years.</t>
  </si>
  <si>
    <t>Issue</t>
  </si>
  <si>
    <t>Attracting workers to location</t>
  </si>
  <si>
    <t>Significant portion of workforce retiring</t>
  </si>
  <si>
    <t>Employee turnover</t>
  </si>
  <si>
    <t>Finding workers able to get security clearances</t>
  </si>
  <si>
    <t>Finding experienced workers</t>
  </si>
  <si>
    <t>Finding qualified workers</t>
  </si>
  <si>
    <t>Finding U.S. citizens</t>
  </si>
  <si>
    <t>May Cause Facility to Stop Producing for USG</t>
  </si>
  <si>
    <t>What level of foreign acquisition of U.S. bare circuit board manufacturers do you expect in the next five years?</t>
  </si>
  <si>
    <t>Action</t>
  </si>
  <si>
    <t>Does your organization's internal network connect to the Internet?</t>
  </si>
  <si>
    <t>Current</t>
  </si>
  <si>
    <t>Future</t>
  </si>
  <si>
    <t>CurrFut</t>
  </si>
  <si>
    <t>Healthcare costs</t>
  </si>
  <si>
    <t>Environmental regulations/remediation - domestic</t>
  </si>
  <si>
    <t>Competition - domestic</t>
  </si>
  <si>
    <t>Environmental regulations/remediation - foreign</t>
  </si>
  <si>
    <t>Competition - foreign</t>
  </si>
  <si>
    <t>Material input availability</t>
  </si>
  <si>
    <t>Quality of material inputs</t>
  </si>
  <si>
    <t>Corporation</t>
  </si>
  <si>
    <t>Non-Profit</t>
  </si>
  <si>
    <t>University</t>
  </si>
  <si>
    <t>USG Agency</t>
  </si>
  <si>
    <t>OrgDesc</t>
  </si>
  <si>
    <t>RespType</t>
  </si>
  <si>
    <t>State/Region</t>
  </si>
  <si>
    <t>USNon</t>
  </si>
  <si>
    <t>CompAdv</t>
  </si>
  <si>
    <t>Price</t>
  </si>
  <si>
    <t>Delivery Time</t>
  </si>
  <si>
    <t>Reliability</t>
  </si>
  <si>
    <t>Financing</t>
  </si>
  <si>
    <t>Receipt of State Subsidies</t>
  </si>
  <si>
    <t>(select from dropdown)</t>
  </si>
  <si>
    <t>DARPA - Defense Advanced Research Projects Agency</t>
  </si>
  <si>
    <t>USDA - Department of Agriculture</t>
  </si>
  <si>
    <t>DOC - Department of Commerce</t>
  </si>
  <si>
    <t>HHS - Department of Health and Human Services</t>
  </si>
  <si>
    <t>State Department</t>
  </si>
  <si>
    <t>Justice Department</t>
  </si>
  <si>
    <t>Transportation Department</t>
  </si>
  <si>
    <t>EPA - Environmental Protection Agency</t>
  </si>
  <si>
    <t>FCC - Federal Communications Commission</t>
  </si>
  <si>
    <t>NRC - Nuclear Regulatory Commission</t>
  </si>
  <si>
    <t>VA - Department of Veterans Avvairs</t>
  </si>
  <si>
    <t>White House</t>
  </si>
  <si>
    <t>DHS - Department of Homeland Security</t>
  </si>
  <si>
    <t>NASA - National Aeronautics &amp; Space Administration</t>
  </si>
  <si>
    <t>NOAA - National Oceanic &amp; Atmospheric Administration</t>
  </si>
  <si>
    <t xml:space="preserve">DOE - Department of Energy </t>
  </si>
  <si>
    <t>MDA - Missile Defense Agency</t>
  </si>
  <si>
    <t>IntegSep</t>
  </si>
  <si>
    <t>Integrated</t>
  </si>
  <si>
    <t>Separate</t>
  </si>
  <si>
    <t>InnerLayerThickness</t>
  </si>
  <si>
    <t>MaxBoardThickness</t>
  </si>
  <si>
    <t>ProcMeth</t>
  </si>
  <si>
    <t>Manual</t>
  </si>
  <si>
    <t>Automatic</t>
  </si>
  <si>
    <t>0.5:1</t>
  </si>
  <si>
    <t>0.75:1</t>
  </si>
  <si>
    <t>1:1</t>
  </si>
  <si>
    <t>Over 1:1</t>
  </si>
  <si>
    <t>MaxAspect1</t>
  </si>
  <si>
    <t>MaxAspect2</t>
  </si>
  <si>
    <t>5:1</t>
  </si>
  <si>
    <t>10:1</t>
  </si>
  <si>
    <t>15:1</t>
  </si>
  <si>
    <t>20:1</t>
  </si>
  <si>
    <t>25:1</t>
  </si>
  <si>
    <t>30:1</t>
  </si>
  <si>
    <t>Under 5:1</t>
  </si>
  <si>
    <t>Over 30:1</t>
  </si>
  <si>
    <t>Under 0.5:1</t>
  </si>
  <si>
    <t>Shifts</t>
  </si>
  <si>
    <t>Change</t>
  </si>
  <si>
    <t>Increase</t>
  </si>
  <si>
    <t>No Change</t>
  </si>
  <si>
    <t>Decrease</t>
  </si>
  <si>
    <t>Confidence</t>
  </si>
  <si>
    <t>Very confident</t>
  </si>
  <si>
    <t>Somewhat confident</t>
  </si>
  <si>
    <t>Not confident</t>
  </si>
  <si>
    <t>Would not be able to</t>
  </si>
  <si>
    <t>InvMeth</t>
  </si>
  <si>
    <t>EqConcern</t>
  </si>
  <si>
    <t>Upgradeability</t>
  </si>
  <si>
    <t>Service</t>
  </si>
  <si>
    <t>Spare parts</t>
  </si>
  <si>
    <t>Expanded facility</t>
  </si>
  <si>
    <t>Equipment for new technologies</t>
  </si>
  <si>
    <t>Equipment for existing technologies</t>
  </si>
  <si>
    <t>CapExFuture</t>
  </si>
  <si>
    <t>FacilityChange</t>
  </si>
  <si>
    <t>Expansion</t>
  </si>
  <si>
    <t>Modernization</t>
  </si>
  <si>
    <t>Potential Closure</t>
  </si>
  <si>
    <t>Not at all</t>
  </si>
  <si>
    <t>Somewhat</t>
  </si>
  <si>
    <t>Moderately</t>
  </si>
  <si>
    <t>Significantly</t>
  </si>
  <si>
    <t>DepLevel</t>
  </si>
  <si>
    <t>Minimal</t>
  </si>
  <si>
    <t>Moderate</t>
  </si>
  <si>
    <t>Major</t>
  </si>
  <si>
    <t>ImpactLevel</t>
  </si>
  <si>
    <t>Improved production efficiency</t>
  </si>
  <si>
    <t>Cost reduction</t>
  </si>
  <si>
    <t>Excess production capacity</t>
  </si>
  <si>
    <t>Not technologically competitive</t>
  </si>
  <si>
    <t>Diminishing commercial orders</t>
  </si>
  <si>
    <t>Shrinking USG orders</t>
  </si>
  <si>
    <t>Increased foreign competition</t>
  </si>
  <si>
    <t>Larger companies possess market advantages</t>
  </si>
  <si>
    <t>ConsolFactors</t>
  </si>
  <si>
    <t>Unclear Effect</t>
  </si>
  <si>
    <t>BusinessImpact</t>
  </si>
  <si>
    <t>Benefit</t>
  </si>
  <si>
    <t>Harm</t>
  </si>
  <si>
    <t>WhoResp</t>
  </si>
  <si>
    <t>Fewer U.S. materials manufacturers</t>
  </si>
  <si>
    <t>Higher material costs</t>
  </si>
  <si>
    <t>Pricing advantage for larger board manufacturers</t>
  </si>
  <si>
    <t>Small companies less able to compete</t>
  </si>
  <si>
    <t>Reduced domestic board capability</t>
  </si>
  <si>
    <t>Shrinkage in manufacturing workforce</t>
  </si>
  <si>
    <t>Higher prices for bare board customers</t>
  </si>
  <si>
    <t>Identify the bare circuit board panel sizes that this facility can produce with its current manufacturing equipment:</t>
  </si>
  <si>
    <t>Panel Size:</t>
  </si>
  <si>
    <t>Capability:</t>
  </si>
  <si>
    <t>24x36</t>
  </si>
  <si>
    <t>24x30</t>
  </si>
  <si>
    <t>21x24</t>
  </si>
  <si>
    <t>18x24</t>
  </si>
  <si>
    <t>12x18</t>
  </si>
  <si>
    <t>9x12</t>
  </si>
  <si>
    <t>Counterfeit</t>
  </si>
  <si>
    <t>Confirmed</t>
  </si>
  <si>
    <t>Suspected</t>
  </si>
  <si>
    <t>Prepreg</t>
  </si>
  <si>
    <t>Laminate</t>
  </si>
  <si>
    <t>If so, what practices do you regularly use to verify that the materials are genuine and perform to specifications?</t>
  </si>
  <si>
    <t>Systematic testing of inventory</t>
  </si>
  <si>
    <t>Confirm production lots and production dates with the original manufacturer</t>
  </si>
  <si>
    <t>Check authenticity of standards organization certification labels/trademarks</t>
  </si>
  <si>
    <t>Organization Information</t>
  </si>
  <si>
    <t>Respondent Profile</t>
  </si>
  <si>
    <t>Mergers, Acquisitions, Divestitures, and Joint Ventures</t>
  </si>
  <si>
    <t>Customers and Competitors</t>
  </si>
  <si>
    <t>Interactions with the USG</t>
  </si>
  <si>
    <t>Manufacturing Capabilities</t>
  </si>
  <si>
    <t>Materials and Equipment</t>
  </si>
  <si>
    <t>Sales</t>
  </si>
  <si>
    <t>Financial Information</t>
  </si>
  <si>
    <t>Research &amp; Development</t>
  </si>
  <si>
    <t>Capital Expenditures</t>
  </si>
  <si>
    <t>Workforce</t>
  </si>
  <si>
    <t>Competitive Factors</t>
  </si>
  <si>
    <t>Challenges and Outreach Interest</t>
  </si>
  <si>
    <t>Certification</t>
  </si>
  <si>
    <t>General Instructions</t>
  </si>
  <si>
    <t>Definitions</t>
  </si>
  <si>
    <t>Commercial End Use</t>
  </si>
  <si>
    <t>% of Bare Circuit Board Sales</t>
  </si>
  <si>
    <t>Defense End Use</t>
  </si>
  <si>
    <t>Electronics</t>
  </si>
  <si>
    <t>Ground Vehicles</t>
  </si>
  <si>
    <t>Missiles</t>
  </si>
  <si>
    <t>Consumer Goods</t>
  </si>
  <si>
    <t>Identify and describe your organization's five most recent mergers, acquisitions, and divestitures, if applicable.</t>
  </si>
  <si>
    <t>Circuit board panel production run too small</t>
  </si>
  <si>
    <t>Insufficient order frequency</t>
  </si>
  <si>
    <t>Customer credit rating</t>
  </si>
  <si>
    <t>Additional work not needed</t>
  </si>
  <si>
    <t>C4ISR</t>
  </si>
  <si>
    <t>Identify your organization's leading U.S. and non-U.S. competitors in the manufacture of bare circuit boards, and select their primary competitive attribute.</t>
  </si>
  <si>
    <t xml:space="preserve">From the list of USG agencies below, select those this facility supports or has supported since 2012.  If you support an agency that is not listed, identify it in an "Other" box.  </t>
  </si>
  <si>
    <t>Estimate the total number of USG programs this facility has directly or indirectly supported since 2012.</t>
  </si>
  <si>
    <t>Identify the USG programs this facility has supported since 2012, and indicate which types of bare circuit boards this facility has manufactured for each program.</t>
  </si>
  <si>
    <t>If this facility's bare circuit board manufacturing supports USG programs, whether directly or indirectly, are the associated manufacturing lines integrated with, or separate from, its commercial manufacturing lines?</t>
  </si>
  <si>
    <t>Less than 0.001"</t>
  </si>
  <si>
    <t>0.001"</t>
  </si>
  <si>
    <t>0.002"</t>
  </si>
  <si>
    <t>0.003"</t>
  </si>
  <si>
    <t>0.004"</t>
  </si>
  <si>
    <t>0.005"</t>
  </si>
  <si>
    <t>0.01"</t>
  </si>
  <si>
    <t>0.02"</t>
  </si>
  <si>
    <t>More than 0.02"</t>
  </si>
  <si>
    <t>Less than 0.01"</t>
  </si>
  <si>
    <t>Identify the bare circuit board manufacturing processes that this facility is capable of employing:</t>
  </si>
  <si>
    <t>Identify this facility's maximum capability for each of the following bare circuit board production factors:</t>
  </si>
  <si>
    <t>Identify which of following processes associated with via structures this facility is capable of performing:</t>
  </si>
  <si>
    <t>Identify the standards that this facility currently employs and indicate whether you have a formal certification or apply the standards informally.</t>
  </si>
  <si>
    <t>Does this facility use Statistical Process Control with TrueChem or equivalent software specifically to control and automate the management of chemistries, coatings, and associated circuit board production processes?</t>
  </si>
  <si>
    <t>Does this facility employ Material Requirements Planning (MRP) software in the operation of its circuit board manufacturing facilities in the U.S.?</t>
  </si>
  <si>
    <t>Are first article inspection capabilities at this facility compliant with AS 9102?</t>
  </si>
  <si>
    <t>Average Weekly Panels Manufactured</t>
  </si>
  <si>
    <t>Average Weekly Inner Layers (Cores) Manufactured</t>
  </si>
  <si>
    <t>How many 8-hour production shifts does this facility typically operate per day?</t>
  </si>
  <si>
    <t>How many 8-hour front-end engineering shifts does this facility typically operate per day?</t>
  </si>
  <si>
    <t>How many 8-hour production shifts per day COULD this facility operate practically?</t>
  </si>
  <si>
    <t>Estimate this facility's average manufacturing utilization rate for each of the years 2012-2015, as a percentage of production possible under a 7 day-per-week, 24-hour-per-day operation.
Note: a 100% utilization rate equals full operation with no downtime beyond that necessary for maintenance</t>
  </si>
  <si>
    <t>Estimate how many weeks it would take to raise this facility's production from current levels to 150% of your current capacity utilization:</t>
  </si>
  <si>
    <t>Does this facility perform front-end engineering for manufacturing bare circuit boards as a service to other companies that may have bare circuit boards manufactured elsewhere?</t>
  </si>
  <si>
    <t xml:space="preserve">Does this facility outsource any front-end engineering for bare circuit board products manufactured at this facility? </t>
  </si>
  <si>
    <t>How does this facility anticipate it's front-end engineering processing capabilities will change by 2020?</t>
  </si>
  <si>
    <t>If this facility outsources front-end engineering for bare circuit board products, indicate the country or countries (including the United States) to which this service is outsourced:</t>
  </si>
  <si>
    <t>Total Number of Manufacturers Used</t>
  </si>
  <si>
    <t>How many weeks would it take this facility to obtain material from a new supplier of laminate?</t>
  </si>
  <si>
    <t xml:space="preserve">Does the reduction in the number of companies in the U.S. that manufacture circuit board laminates and other circuit board-related materials create material supply problems for this facility? </t>
  </si>
  <si>
    <t>How confident is this facility that it would be able to obtain on a timely basis the material necessary to rapidly ramp up bare circuit board production in the event of a national emergency?</t>
  </si>
  <si>
    <t>Which statement best describes this facility's general method for maintaining inventory levels of laminate and related materials required for the production of circuit boards?</t>
  </si>
  <si>
    <t>Has this facility had trouble obtaining parts for U.S. or non-U.S. equipment?</t>
  </si>
  <si>
    <t>Has this facility had trouble obtaining service on U.S. or non-U.S. equipment?</t>
  </si>
  <si>
    <t>Are there bare circuit board products that this facility is unable to manufacture due to the limitations of installed equipment?</t>
  </si>
  <si>
    <t>Have you had or do you anticipate having difficulty obtaining new equipment for manufacturing tin-lead bare circuit boards?</t>
  </si>
  <si>
    <t>Does this facility buy materials for the manufacture of bare circuit boards from sources other than the original manufacturer or its authorized distributor?</t>
  </si>
  <si>
    <t xml:space="preserve">Does this facility/organization conduct research and development (R&amp;D)? </t>
  </si>
  <si>
    <t xml:space="preserve">From 2012-2015, were your organization's R&amp;D expenditures adversely impacted by reductions in U.S. Government defense spending? </t>
  </si>
  <si>
    <t>Are there specific R&amp;D areas related to bare circuit board manufacturing that DOD could support to improve board performance?</t>
  </si>
  <si>
    <t>Identify this facility/organization's anticipated top R&amp;D priorities over the next five years and provide a brief explanation.</t>
  </si>
  <si>
    <t>Identify the key factors driving this facility's investment in research and development and explain how these factors shape this facility's research and development projects.</t>
  </si>
  <si>
    <t>Does this facility have difficulty hiring and/or retaining any types of employees? 
If yes, identify which occupations, type of difficulty, and provide an explanation.</t>
  </si>
  <si>
    <t>Have recent changes in environmental control regulations adversely affected this facility's capability to compete against circuit board manufacturers in other countries?</t>
  </si>
  <si>
    <t xml:space="preserve">Will environmental regulations force this facility to cease manufacturing tin-lead circuit boards? </t>
  </si>
  <si>
    <t>Do environmental regulations cause this facility to keep smaller quantities of circuit board manufacturing materials in inventory than what you might otherwise consider optimal?</t>
  </si>
  <si>
    <t>USG requirement that circuit boards produced for critical systems be manufactured with laminate and related materials made in the U.S.</t>
  </si>
  <si>
    <t>Indicate how DOD requirements to use MIL-PRF-31032 standards affect your costs relative to other existing standards?</t>
  </si>
  <si>
    <t>Is the return-on-investment (ROI) associated with this facility's DEFENSE-RELATED bare circuit board manufacturing business sufficient relative to capital requirements and business risk?</t>
  </si>
  <si>
    <t>Is the return-on-investment (ROI) associated with this facility's COMMERCIAL bare circuit board manufacturing business sufficient relative to capital requirements and business risk?</t>
  </si>
  <si>
    <t>Greater dependence on non-U.S. materials</t>
  </si>
  <si>
    <t>Have recent cyber incidents across the marketplace caused your organization to increase its information security budget?</t>
  </si>
  <si>
    <t>Event</t>
  </si>
  <si>
    <t>Indicate the level of impact each of the following types of events attributed to malicious cyber activity has had on this facility since 2012.</t>
  </si>
  <si>
    <t>Health and safety regulations</t>
  </si>
  <si>
    <t>Command, Control, Communications, Computers, Intelligence, Surveillance and Reconnaissance (C4ISR)</t>
  </si>
  <si>
    <t>Identify where the bare circuit board via fill and planarization manufacturing activities are performed for this facility:</t>
  </si>
  <si>
    <t>Identify the forms of testing that this facility uses in manufacturing to assure performance and adherence to operational requirements.</t>
  </si>
  <si>
    <t>Impedance Testing with Plots</t>
  </si>
  <si>
    <t>Increased market share for non-U.S. companies</t>
  </si>
  <si>
    <t>Commercially Sensitive Information (CSI) Type</t>
  </si>
  <si>
    <t>Provide the following information for this facility.</t>
  </si>
  <si>
    <t>Select the primary method this facility uses to find business opportunities with the U.S. Government:</t>
  </si>
  <si>
    <t>Since 2012 has this facility rejected business opportunities due to any of the following?</t>
  </si>
  <si>
    <t>Identify this facility's top 5 U.S. and top 5 non-U.S. direct customers by sales for the past four years.  A direct customer is the immediate entity to which you sell your products/services.  Customers can include other business units/divisions within your parent organization.  Indicate the type of customer and their location.</t>
  </si>
  <si>
    <t>Does this facility consider itself dependent on U.S. Government programs for its continued viability?</t>
  </si>
  <si>
    <t>Identify the types of bare circuit boards that this facility is currently capable of manufacturing:</t>
  </si>
  <si>
    <t>What is the minimum inner layer (core) thickness of circuit board components that this facility can produce?</t>
  </si>
  <si>
    <t>What is the maximum bare circuit board thickness that this facility can achieve?</t>
  </si>
  <si>
    <t>What percentage of this facility's technical staff do you expect to have to replace over the next five years?</t>
  </si>
  <si>
    <t>Does this facility have defined, structured methods for actively protecting the following types of Commercially Sensitive Information (see definitions)?</t>
  </si>
  <si>
    <t>Return to Table of Contents</t>
  </si>
  <si>
    <t>From the list below, estimate the percentage of this facility's bare circuit board sales attributable to each COMMERCIAL end use.</t>
  </si>
  <si>
    <t>From the list below, estimate the percentage of this facility's bare circuit board sales attributable to each DEFENSE end use.</t>
  </si>
  <si>
    <t xml:space="preserve">How many mergers, acquisitions, and divestitures has your organization had since 2012? </t>
  </si>
  <si>
    <t>Range of Capabilities</t>
  </si>
  <si>
    <t>More than 0.005"</t>
  </si>
  <si>
    <t>Research &amp; Development Expenditures</t>
  </si>
  <si>
    <t>Participation in USG Contracts</t>
  </si>
  <si>
    <t>Product/Service Costs</t>
  </si>
  <si>
    <t>Organization Viability/Solvency</t>
  </si>
  <si>
    <t>Personnel with Key Skills</t>
  </si>
  <si>
    <t>Number of Product/Service Lines</t>
  </si>
  <si>
    <t>Pursuit of Non-U.S. Customers</t>
  </si>
  <si>
    <t>Level of Key Production Equipment</t>
  </si>
  <si>
    <t>Movement of Operations to Non-U.S. locations</t>
  </si>
  <si>
    <t>Impact of sudden INCREASE in USG Defense Demand</t>
  </si>
  <si>
    <t>Rigid Conventional Board (single-sided or double-sided)</t>
  </si>
  <si>
    <t>Integrated Circuit Package Substrates</t>
  </si>
  <si>
    <t>Lead-Free</t>
  </si>
  <si>
    <t>Photo imaging</t>
  </si>
  <si>
    <t>Screen printing</t>
  </si>
  <si>
    <t>Controlled drilling/milling</t>
  </si>
  <si>
    <t>Fully additive plating</t>
  </si>
  <si>
    <t>Z-axis interconnect technology</t>
  </si>
  <si>
    <t>Embedded devices (e.g. resistors, capacitors, etc.)</t>
  </si>
  <si>
    <t>Opto-electronic structures</t>
  </si>
  <si>
    <t>Thermal management structures</t>
  </si>
  <si>
    <t>Currently Use</t>
  </si>
  <si>
    <t>Capable of Using</t>
  </si>
  <si>
    <t>Process</t>
  </si>
  <si>
    <t>MIL-PRF 50884</t>
  </si>
  <si>
    <t>IPC 6012</t>
  </si>
  <si>
    <t>IPC 6013</t>
  </si>
  <si>
    <t>IPC 6015</t>
  </si>
  <si>
    <t>IPC 6016</t>
  </si>
  <si>
    <t>IPC 6017</t>
  </si>
  <si>
    <t>IPC 6018</t>
  </si>
  <si>
    <t>0.25 oz copper</t>
  </si>
  <si>
    <t>0.5 oz copper</t>
  </si>
  <si>
    <t>1 oz copper</t>
  </si>
  <si>
    <t>2 oz copper</t>
  </si>
  <si>
    <t>Does this facility have an active technical review board?</t>
  </si>
  <si>
    <r>
      <rPr>
        <b/>
        <sz val="10"/>
        <color indexed="8"/>
        <rFont val="Arial"/>
        <family val="2"/>
      </rPr>
      <t xml:space="preserve">Inner Layer (Core): </t>
    </r>
    <r>
      <rPr>
        <sz val="10"/>
        <color indexed="8"/>
        <rFont val="Arial"/>
        <family val="2"/>
      </rPr>
      <t xml:space="preserve">
     A sheet of copper clad dielectric with one or both sides bearing circuit patterns.
</t>
    </r>
    <r>
      <rPr>
        <b/>
        <sz val="10"/>
        <color indexed="8"/>
        <rFont val="Arial"/>
        <family val="2"/>
      </rPr>
      <t xml:space="preserve">Panel: </t>
    </r>
    <r>
      <rPr>
        <sz val="10"/>
        <color indexed="8"/>
        <rFont val="Arial"/>
        <family val="2"/>
      </rPr>
      <t xml:space="preserve">
    (1) a double-sided or single-sided rigid structure (double-sided or single-sided panel) or 
    (2) two or more inner cores laminated together forming a multilayered, rigid structure (multilayer panel).</t>
    </r>
  </si>
  <si>
    <t>How many 8-hour front-end engineering shifts perd day COULD this facility operate practically?</t>
  </si>
  <si>
    <t>Solder mask</t>
  </si>
  <si>
    <t>Does this facility use either of the following practices for assuring the availability of circuit board-related materials?</t>
  </si>
  <si>
    <t>Local stocking agreements through which distributors maintain supply warehouses in close proximity to this facility.</t>
  </si>
  <si>
    <t>On-site stocking agreements through which distributors keep a quantity of materials at this facility.</t>
  </si>
  <si>
    <t>Overcome market entry barrier/Geopolitical concerns</t>
  </si>
  <si>
    <t>Reduce Costs</t>
  </si>
  <si>
    <t>Does this facility manufacture printed electronics (PE)?</t>
  </si>
  <si>
    <t>If yes, identify the PE business sectors this facility supports:</t>
  </si>
  <si>
    <t>If yes, identify the PE business activities this facility engages in:</t>
  </si>
  <si>
    <t>R&amp;D Only</t>
  </si>
  <si>
    <t>Limited Production</t>
  </si>
  <si>
    <t>Full Production</t>
  </si>
  <si>
    <t>Other (explain)</t>
  </si>
  <si>
    <t>ProdType</t>
  </si>
  <si>
    <t>Cost to replace</t>
  </si>
  <si>
    <t>If so, identify the types of circuit board materials that were suspected or confirmed to be counterfeit products and explain the impact of the counterfeit.</t>
  </si>
  <si>
    <t>All Circuit Board-Related Government Sales [as a % of line B]</t>
  </si>
  <si>
    <t>Bare Circuit Board Government Sales [as a % of line C]</t>
  </si>
  <si>
    <t>All Circuit Board-Related Sales - including design, manufacture, and assembly (in $)</t>
  </si>
  <si>
    <t>Bare Circuit Board Manufacturing Sales - excluding design and assembly (in $)</t>
  </si>
  <si>
    <r>
      <t xml:space="preserve">Bare Circuit Board R&amp;D Expenditures </t>
    </r>
    <r>
      <rPr>
        <sz val="8"/>
        <rFont val="Arial"/>
        <family val="2"/>
      </rPr>
      <t>(as a percent of B1)</t>
    </r>
  </si>
  <si>
    <r>
      <t xml:space="preserve">Defense-Related Bare Circuit Board R&amp;D Expenditures </t>
    </r>
    <r>
      <rPr>
        <sz val="8"/>
        <rFont val="Arial"/>
        <family val="2"/>
      </rPr>
      <t>(as a percent of B1)</t>
    </r>
  </si>
  <si>
    <t>RDPriorities</t>
  </si>
  <si>
    <t>Ultra smooth copper foil</t>
  </si>
  <si>
    <t>Development of very thin unsupported dielectrics</t>
  </si>
  <si>
    <t>Enhanced solid copper via fill methods</t>
  </si>
  <si>
    <t>Sub-10 micrometer photoresists, etchants</t>
  </si>
  <si>
    <t>Printed electronics (additive, 3-D, etc.)</t>
  </si>
  <si>
    <t>Stretchable/wearable electronics</t>
  </si>
  <si>
    <t>Advanced embedded active/passive device methods</t>
  </si>
  <si>
    <t>Direct IC die-on-board ultra high density interconnects</t>
  </si>
  <si>
    <t>Bare circuit board-related capital expenditures 
[as a % of A]</t>
  </si>
  <si>
    <t xml:space="preserve">From 2012-2015, were your organization's bare circuit board-related capital expenditures adversely impacted by reductions in U.S. Government defense spending? </t>
  </si>
  <si>
    <t>Identify your facility/organization's anticipated top bare circuit board-related capital expenditure priorities over the next five years and provide a brief explanation.</t>
  </si>
  <si>
    <t>Process Engineer</t>
  </si>
  <si>
    <t>Product Engineer</t>
  </si>
  <si>
    <t>Intellectual Property Protection</t>
  </si>
  <si>
    <t>DOD requirement for designated types of defense systems to use bare circuit boards manufactured in the U.S. by certified "trusted" suppliers</t>
  </si>
  <si>
    <t>DOD requirement that bare circuit board manufacturers of products for designated defense systems be registered on the Qualified Manufacturers List (QML) and/or Qualified Products List (QPL)</t>
  </si>
  <si>
    <r>
      <t xml:space="preserve">Note: The FBI encourages recipients to report information concerning suspicious or criminal activity to their local FBI field office or the FBI's 24/7 Cyber Watch (CyWatch). Field office contacts can be identified at </t>
    </r>
    <r>
      <rPr>
        <u/>
        <sz val="10"/>
        <color indexed="12"/>
        <rFont val="Arial"/>
        <family val="2"/>
      </rPr>
      <t>http://www.fbi.gov/contact-us/field</t>
    </r>
    <r>
      <rPr>
        <sz val="10"/>
        <rFont val="Arial"/>
        <family val="2"/>
      </rPr>
      <t xml:space="preserve">. CyWatch can be contacted by phone at 855-292-3937 or e-mail at </t>
    </r>
    <r>
      <rPr>
        <u/>
        <sz val="10"/>
        <color indexed="12"/>
        <rFont val="Arial"/>
        <family val="2"/>
      </rPr>
      <t>CyWatch@ic.fbi.gov</t>
    </r>
    <r>
      <rPr>
        <sz val="10"/>
        <rFont val="Arial"/>
        <family val="2"/>
      </rPr>
      <t xml:space="preserve">. When available, each report submitted should include the date, time, location, type of activity, number of people, and type of equipment used for the activity, the name of the submitting company or organization, and a designated point of contact. </t>
    </r>
  </si>
  <si>
    <t>"Printed Electronics" refers to the use of additive printing methods on flexible substrates such as plastic, paper, epoxy-fiberglass, textiles, and other electronic devices such as discrete electronic component, sensors, and others.</t>
  </si>
  <si>
    <t>VA - Department of Veterans Affairs</t>
  </si>
  <si>
    <t>Two Principal Manufacturer Names</t>
  </si>
  <si>
    <t>Country of Manufacture</t>
  </si>
  <si>
    <t>Bare Printed Circuit Board</t>
  </si>
  <si>
    <t>A completed, tested circuit board ready to be populated with components to create a working system.</t>
  </si>
  <si>
    <t>Board Thickness</t>
  </si>
  <si>
    <t>The overall thickness of the base material, all conductive material deposited thereon, and solder mask.</t>
  </si>
  <si>
    <t>Any organization (external or internal entity) for which your company manufactures bare circuit board products.</t>
  </si>
  <si>
    <t>1) Regulations administered by the Bureau of Industry and Security (BIS), U.S. Department of Commerce governing the export of dual-use technologies;  2) International Traffic in Arms Regulations (ITAR) administered by the U.S. Department of State governing products and services provided specifically for defense applications.</t>
  </si>
  <si>
    <t>External Cloud Service Provider</t>
  </si>
  <si>
    <t>A service model in which a company employs an external third-party service provider to maintain, manage, and back up business data at a remote location away from the company's operating facilities.  The use of shared third-party storage infrastructure by businesses can reduce capital, operations, storage, and security requirements, significantly lowering costs. Data is transmitted between the company and the cloud service provider via networks as needed.</t>
  </si>
  <si>
    <t>External Data Storage Provider</t>
  </si>
  <si>
    <t xml:space="preserve">A business that provides external data storage services to your company for data that is not currently held in your company's main data network work systems. </t>
  </si>
  <si>
    <t xml:space="preserve">A flexible circuit board with printed circuitry on flexible base material consisting of one or more layers  </t>
  </si>
  <si>
    <t>Microvia</t>
  </si>
  <si>
    <t>A conductive hole with a diameter of 0.005" or less that connects layers of a multi-layer printed circuit board.  Microvias are used in blind and buried vias, but not for through-the-board connections.  The term is often used to refer to any small geometry connection holes created by laser drilling.</t>
  </si>
  <si>
    <t>Planarization</t>
  </si>
  <si>
    <t xml:space="preserve">Planarization is a mechanical sanding/polishing process to create a flat or planar surface across copper conductor on circuit boards. </t>
  </si>
  <si>
    <t>Pre-Preg</t>
  </si>
  <si>
    <t>A sheet of base dielectric laminate incorporating reinforcing material (typically glass fabric/mat, or aramid fabric/mat) impregnated with a resin cured to an intermediate stage (i.e. B-stage resin) where it is not fully cured.</t>
  </si>
  <si>
    <t>Qualified Manufacturers' List (QML)</t>
  </si>
  <si>
    <t>A list of manufacturers who have had their products examined and tested and who have satisfied all applicable U.S. Department of Defense qualification requirements for that product.</t>
  </si>
  <si>
    <t>Qualifed Products List (QPL)</t>
  </si>
  <si>
    <t xml:space="preserve">A list of products, or family of products, that have met the qualification requirements set forth in the applicable specification, including appropriate product identification, tests or qualification reference, and the name and plant address of the manufacturer and authorized distributor. </t>
  </si>
  <si>
    <t xml:space="preserve">A rigid circuit board composed of resin and reinforcing material such as fiberglass that contains an electric conductor in a defined path to connect with devices and terminal connectors.  </t>
  </si>
  <si>
    <t>One or more rigid circuit boards connected by a to a flexible circuit board.</t>
  </si>
  <si>
    <t>Via</t>
  </si>
  <si>
    <t>A plated feed-through hole that is used to route a trace vertically in the board from one layer to another.  Vias are not used as connecting devices for component leads or for anchoring reinforcing material.</t>
  </si>
  <si>
    <t>Via Structure</t>
  </si>
  <si>
    <t>A description of vias (including microvias) incorporated in a multilayer circuit board product.</t>
  </si>
  <si>
    <t>For each of the inputs below, state whether you have experienced sourcing problems and identify the principal manufacturers of each material that this facility uses in manufacturing bare circuit boards.</t>
  </si>
  <si>
    <r>
      <t xml:space="preserve">Your facility is required to complete this bare printed circuit board survey using an Excel template, which can be downloaded from the BIS website: </t>
    </r>
    <r>
      <rPr>
        <u/>
        <sz val="10"/>
        <color indexed="12"/>
        <rFont val="Arial"/>
        <family val="2"/>
      </rPr>
      <t>http://bis.doc.gov/printedcircuitboards</t>
    </r>
    <r>
      <rPr>
        <sz val="10"/>
        <rFont val="Arial"/>
        <family val="2"/>
      </rPr>
      <t>.  If you are not able to download the survey document, at your requrest BIS staff will e-mail the Excel survey template directly to you. 
For your convenience, a PDF verson of the survey and required drop-down content is available on the BIS website to aid internal data collection.  DO NOT SUBMIT the PDF version of the survey as your response to BIS.  Should this occur, your facility will be required to resubmit the survey in the requested Excel format.</t>
    </r>
  </si>
  <si>
    <r>
      <t xml:space="preserve">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the information. 
</t>
    </r>
    <r>
      <rPr>
        <b/>
        <sz val="10"/>
        <rFont val="Arial"/>
        <family val="2"/>
      </rPr>
      <t>DO NOT CUT AND PASTE RESPONSES WITHIN THIS SURVEY.</t>
    </r>
    <r>
      <rPr>
        <sz val="10"/>
        <rFont val="Arial"/>
        <family val="2"/>
      </rPr>
      <t xml:space="preserve">  Survey inputs should be completed  by typing in responses or by use of a drop-down menu.  The use of cut and paste can corrupt the survey template.  If your survey response is corrupted as a result of cut and paste responses, a new survey will be sent to your organization for immediate completion.  
</t>
    </r>
  </si>
  <si>
    <r>
      <t xml:space="preserve">Upon completion of the survey, final review, and certification on the final page, </t>
    </r>
    <r>
      <rPr>
        <b/>
        <sz val="10"/>
        <rFont val="Arial"/>
        <family val="2"/>
      </rPr>
      <t>transmit the survey via e-mail to</t>
    </r>
    <r>
      <rPr>
        <sz val="10"/>
        <rFont val="Arial"/>
        <family val="2"/>
      </rPr>
      <t xml:space="preserve">: </t>
    </r>
    <r>
      <rPr>
        <u/>
        <sz val="10"/>
        <color indexed="12"/>
        <rFont val="Arial"/>
        <family val="2"/>
      </rPr>
      <t>printedcircuitboards@bis.doc.gov</t>
    </r>
    <r>
      <rPr>
        <sz val="10"/>
        <rFont val="Arial"/>
        <family val="2"/>
      </rPr>
      <t>.
To arrange for the completed survey to be delivered on CD-ROM or DVD disc by private carrier, contact BIS survey staff.</t>
    </r>
  </si>
  <si>
    <r>
      <t xml:space="preserve">For questions related to the overall scope of this Defense Industrial Base assessment, contact: 
Brad Botwin, Director, Industrial Studies
Office of Technology Evaluation, Room 1093
U.S. Department of Commerce
1401 Constitution Avenue, NW
Washington, DC 20230
DO NOT submit completed surveys to Mr. Botwin's postal or e-mail address; all surveys must be submitted electronically to </t>
    </r>
    <r>
      <rPr>
        <u/>
        <sz val="10"/>
        <color indexed="12"/>
        <rFont val="Arial"/>
        <family val="2"/>
      </rPr>
      <t>printedcircuitboards@bis.doc.gov</t>
    </r>
    <r>
      <rPr>
        <sz val="10"/>
        <color indexed="8"/>
        <rFont val="Arial"/>
        <family val="2"/>
      </rPr>
      <t>.</t>
    </r>
  </si>
  <si>
    <t>A veteran-owned or service-disabled veteran-owned business</t>
  </si>
  <si>
    <t>From the list below, select impacts that a sudden change in direct and/or indirect U.S. Government defense demand for electronic products containing bare circuit boards would likely have on your organization and provide an explanation where applicable:</t>
  </si>
  <si>
    <t>How does this facility anticipate the range of bare circuit board product lines it manufactures will change by 2020?</t>
  </si>
  <si>
    <t>If this facility were no longer able to purchase circuit board laminate from your current suppliers, for how many weeks could you continue normal operations?</t>
  </si>
  <si>
    <t>Between 2012 and 2015 did this facility encounter product failures that are suspected or confirmed to be attributed to counterfeit materials used in building bare circuit boards?</t>
  </si>
  <si>
    <t>Provide the following financial line items for your facility/organization below.
Note: Facility level data is preferred. If you do not keep this information at a location level, provide data at the closest level available.</t>
  </si>
  <si>
    <t>In Question B, record this facility's total dollar R&amp;D expenditure and type of R&amp;D expenditure for each of the years 2012 to 2015.
In Question C, identify this facility's R&amp;D funding sources, by percent of total R&amp;D dollars sourced.
Note: Facility level data is preferred. If you do not keep this information at a facility level, provide data at the closest level available.</t>
  </si>
  <si>
    <t>What advanced bare circuit board-related technologies should DOD support in order to better enable manufacturers to meet future national security requirements?</t>
  </si>
  <si>
    <t>Record this facility's capital expenditures corresponding to the select categories below.
Note: Facility level data is preferred. If you do not keep this information at a location level, provide data at the closest level available.</t>
  </si>
  <si>
    <t>Record the total number of full time equivalent (FTE) employees in your U.S.-based operations for the 2012-2015 period.  Then, estimate the percentage of these employees that perform the occupations indicated in part A, lines a-i
Note: Facility level data is preferred. If you do not keep this information at a location level, provide data at the closest level available.</t>
  </si>
  <si>
    <t>Administrative, Management, &amp; Legal Staff [as a % of line 1]</t>
  </si>
  <si>
    <t>Engineers, Scientists, and R&amp;D Staff [as a % of line 1]</t>
  </si>
  <si>
    <t>Facility &amp; Maintenance Staff [as a % of line 1]</t>
  </si>
  <si>
    <t>Information Technology Professionals [as a % of line 1]</t>
  </si>
  <si>
    <t>Marketing &amp; Sales [as a % of line 1]</t>
  </si>
  <si>
    <t>Production Line Workers [as a % of line 1]</t>
  </si>
  <si>
    <t>Testing Operators, Quality Control, and Support Technicians [as a % of line 1]</t>
  </si>
  <si>
    <t>Contraction</t>
  </si>
  <si>
    <t>Reduce Interest in USG Business</t>
  </si>
  <si>
    <t>Indicate whether the following factors affect this facility's interest in USG business.</t>
  </si>
  <si>
    <t>To what extent is this facility's continued ability to manufacture bare circuit boards for USG customers dependent on the viability of your commercial circuit board business?</t>
  </si>
  <si>
    <t>To what extent is this facility's continued ability to manufacture bare circuit boards for commercial customers dependent on the viability of your USG business?</t>
  </si>
  <si>
    <t>Which of the following impacts do you anticipate from consolidation in the number of U.S. bare circuit board manufacturing facilities?</t>
  </si>
  <si>
    <t>What impact would each of the following potential USG actions have on your business?</t>
  </si>
  <si>
    <t>Increased funding of targeted bare circuit board manufacturing technology R&amp;D</t>
  </si>
  <si>
    <t>Estimate the percentage of your organization's commercially sensitive information that is stored with:</t>
  </si>
  <si>
    <t>Does your organization restrict or prohibit your external cloud service or external data storage provider(s) from storing  commercially sensitive information outside of the U.S.?</t>
  </si>
  <si>
    <t>Identify the issues that have or are expected to impact this facility.
In column A, identify all issues that currently are affecting your business in an adverse way or that are expected to do so in the future.
In column B, rank your top five issues (one being the most important) by selecting numbers one through five, using each rank exactly once.
In column C, provide an explanation for the relevant issues.</t>
  </si>
  <si>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
Once this survey is complete, submit it via e-mail to: </t>
    </r>
    <r>
      <rPr>
        <u/>
        <sz val="10"/>
        <color indexed="12"/>
        <rFont val="Arial"/>
        <family val="2"/>
      </rPr>
      <t>printedcircuitboards@bis.doc.gov</t>
    </r>
    <r>
      <rPr>
        <sz val="10"/>
        <color indexed="8"/>
        <rFont val="Arial"/>
        <family val="2"/>
      </rPr>
      <t>. Be sure to retain a copy for your records and to facilitate any necessary edits or clarifications.</t>
    </r>
  </si>
  <si>
    <t>What level of overall industry consolidation do you expect to occur in the U.S. bare circuit board industry in the next five years?</t>
  </si>
  <si>
    <r>
      <t xml:space="preserve">Questions related to this Excel survey should be directed to:
</t>
    </r>
    <r>
      <rPr>
        <u/>
        <sz val="10"/>
        <color indexed="12"/>
        <rFont val="Arial"/>
        <family val="2"/>
      </rPr>
      <t>printedcircuitboards@bis.doc.gov</t>
    </r>
    <r>
      <rPr>
        <sz val="10"/>
        <rFont val="Arial"/>
        <family val="2"/>
      </rPr>
      <t>.  (E-mail is the preferred method of contact).
You may also speak with a member of BIS survey support staff by calling: Stamen Borisson, 202-482-3893; Mark Crawford, 202-482-8239.</t>
    </r>
  </si>
  <si>
    <t>What capabilities does this facility have related to the production of bare printed circuit boards?</t>
  </si>
  <si>
    <t>If your organization has multiple facilities in the United States that manufacture bare printed circuit boards you must provide separate survey responses for each facility. Indicate at right the description that best describes your organization's circuit board manufacturing structure.
1. Organization has a single facility in the U.S.
2. Organization has multiple facilities, but only one bare circuit board manufacturing facility in the U.S.
3. Organization has multiple facilities in the U.S. with bare circuit board manufacturing capabilities.</t>
  </si>
  <si>
    <t>Identify and rank in descending order all entities that directly or indirectly own or have beneficial ownership of five percent or more of your organization (including parent companies and others):</t>
  </si>
  <si>
    <t>Find DUNS numbers at:</t>
  </si>
  <si>
    <t>http://fedgov.dnb.com/webform</t>
  </si>
  <si>
    <t>NAICS (6-digit) Code(s)*</t>
  </si>
  <si>
    <t>Find NAICS codes at:</t>
  </si>
  <si>
    <t>http://www.census.gov/epcd/www/naics.html</t>
  </si>
  <si>
    <t>Vertical integration</t>
  </si>
  <si>
    <t>Labor Costs</t>
  </si>
  <si>
    <t>Lead Time</t>
  </si>
  <si>
    <t>Rigid High Speed Boards</t>
  </si>
  <si>
    <t>Rigid High Frequency Boards</t>
  </si>
  <si>
    <t>Rigid Microwave Boards</t>
  </si>
  <si>
    <t>Flexible Conventional Board (single-sided or double-sided)</t>
  </si>
  <si>
    <t>Flexible Multilayer Board</t>
  </si>
  <si>
    <t>Flexible High Speed Boards</t>
  </si>
  <si>
    <t>Flexible High Frequency Boards</t>
  </si>
  <si>
    <t>Flexible Microwave Boards</t>
  </si>
  <si>
    <t>3-5 oz copper</t>
  </si>
  <si>
    <t>6-10 oz copper</t>
  </si>
  <si>
    <t>10+ oz copper</t>
  </si>
  <si>
    <t>For each type of bare circuit board layer listed below, identify this facility's standard and minimum trace widths, based on specified copper conductor weights:</t>
  </si>
  <si>
    <t>For each type of bare circuit board layer listed below, identify this facility's standard and minimum space widths, based on specified copper conductor weights:</t>
  </si>
  <si>
    <t>Section 5b: Manufacturing Capabilities (cont.)</t>
  </si>
  <si>
    <t>12x24</t>
  </si>
  <si>
    <t>Identify the primary final circuit board inspection method this facility uses to assure that manufactured products meet performance requirements.</t>
  </si>
  <si>
    <t>Section 5d: Manufacturing Production &amp; Capacity</t>
  </si>
  <si>
    <t>Section 5e: Manufacturing Production &amp; Capacity (continued)</t>
  </si>
  <si>
    <t>Number of Functioning Units On Site</t>
  </si>
  <si>
    <t>From the list below identify how many of each type of equipment this facility has. Then, estimate its average age, and indicate your primary concern about continued/future use of this equipment</t>
  </si>
  <si>
    <t>Data Confirmation</t>
  </si>
  <si>
    <t>Total Listed 2015 Sales</t>
  </si>
  <si>
    <t>Provide this facility's sales information for the 2012-2015 to U.S. and non-U.S. customers.
Note: "U.S." means U.S. domestic sales; "Non-U.S." means export sales from U.S. locations.
Government sales include both direct and indirect sales to government customers.  All sales with government end uses should be reported as government sales.</t>
  </si>
  <si>
    <t>2015 Net Sales</t>
  </si>
  <si>
    <t>Note: Total Assets must equal Total Liabilities plus Total Owner's Equity</t>
  </si>
  <si>
    <t>Total 2015 R&amp;D Expenditures</t>
  </si>
  <si>
    <t>Total 2015 Capital Expenditures</t>
  </si>
  <si>
    <t>1. Organization has a single facility in the U.S.</t>
  </si>
  <si>
    <t>2. Organization has multiple facilities, but only one bare circuit board manufacturing facility in the U.S.</t>
  </si>
  <si>
    <t>3. Organization has multiple facilities in the U.S. with bare circuit board manufacturing capabilities.</t>
  </si>
  <si>
    <t>Bed-of-Nails</t>
  </si>
  <si>
    <t>Q6c_B_Parts_US</t>
  </si>
  <si>
    <t>Q6d_A_Counterfeit_Any</t>
  </si>
  <si>
    <t>Public reporting burden for this collection of information is estimated to average 13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0694-0119), Washington, D.C. 20503.</t>
  </si>
  <si>
    <t>Section 1b: Organization Information (Cont.)</t>
  </si>
  <si>
    <t>Section 5c: Manufacturing Standards</t>
  </si>
  <si>
    <t>Section 6b: Materials &amp; Equipment (continued)</t>
  </si>
  <si>
    <t>Section 6c: Materials &amp; Equipment (continued)</t>
  </si>
  <si>
    <t>Section 6d: Materials &amp; Equipment (continued)</t>
  </si>
  <si>
    <t>Org ID:</t>
  </si>
  <si>
    <t>RP_A_OrgType</t>
  </si>
  <si>
    <t>Q1a_A_OrgAddress</t>
  </si>
  <si>
    <t>Q1a_A_OrgCAGE</t>
  </si>
  <si>
    <t>Q1a_A_OrgCity</t>
  </si>
  <si>
    <t>Q1a_A_OrgName</t>
  </si>
  <si>
    <t>Q1a_A_OrgPhone</t>
  </si>
  <si>
    <t>Q1a_A_OrgState</t>
  </si>
  <si>
    <t>Q1a_A_OrgWebsite</t>
  </si>
  <si>
    <t>Q1a_A_OrgZip</t>
  </si>
  <si>
    <t>Q1a_B_ParentAddress</t>
  </si>
  <si>
    <t>Q1a_B_ParentCAGE</t>
  </si>
  <si>
    <t>Q1a_B_ParentCity</t>
  </si>
  <si>
    <t>Q1a_B_ParentCountry</t>
  </si>
  <si>
    <t>Q1a_B_ParentName</t>
  </si>
  <si>
    <t>Q1a_B_ParentState</t>
  </si>
  <si>
    <t>Q1a_B_ParentZip</t>
  </si>
  <si>
    <t>Q1a_C_PubPriv</t>
  </si>
  <si>
    <t>Q1a_C_Ticker</t>
  </si>
  <si>
    <t>Q1a_Comment</t>
  </si>
  <si>
    <t>Q1a_D_POCEmail</t>
  </si>
  <si>
    <t>Q1a_D_POCName</t>
  </si>
  <si>
    <t>Q1a_D_POCPhone</t>
  </si>
  <si>
    <t>Q1a_D_POCState</t>
  </si>
  <si>
    <t>Q1a_D_POCTitle</t>
  </si>
  <si>
    <t>Q1b_Comment</t>
  </si>
  <si>
    <t>Q1b_D_8a</t>
  </si>
  <si>
    <t>Q1b_D_HUBZone</t>
  </si>
  <si>
    <t>Q1b_D_Minority</t>
  </si>
  <si>
    <t>Q1b_D_SmallBus</t>
  </si>
  <si>
    <t>Q1b_D_Vet</t>
  </si>
  <si>
    <t>Q1b_D_Woman</t>
  </si>
  <si>
    <t>Q1c_A_CommercialPct</t>
  </si>
  <si>
    <t>Q1c_A_DefensePct</t>
  </si>
  <si>
    <t>Q1c_B_Comm_Aero_Pct</t>
  </si>
  <si>
    <t>Q1c_B_Comm_Auto_Pct</t>
  </si>
  <si>
    <t>Q1c_B_Comm_Comm_Pct</t>
  </si>
  <si>
    <t>Q1c_B_Comm_Comp_Pct</t>
  </si>
  <si>
    <t>Q1c_B_Comm_Consumer_Pct</t>
  </si>
  <si>
    <t>Q1c_B_Comm_Elec_Pct</t>
  </si>
  <si>
    <t>Q1c_B_Comm_Marine_Pct</t>
  </si>
  <si>
    <t>Q1c_B_Comm_Med_Pct</t>
  </si>
  <si>
    <t>Q1c_B_Comm_Other_Pct</t>
  </si>
  <si>
    <t>Q1c_B_Comm_Other_Specify</t>
  </si>
  <si>
    <t>Q1c_B_Comm_Space_Pct</t>
  </si>
  <si>
    <t>Q1c_C_Def_Aero_Pct</t>
  </si>
  <si>
    <t>Q1c_C_Def_C4_Pct</t>
  </si>
  <si>
    <t>Q1c_C_Def_Elec_Pct</t>
  </si>
  <si>
    <t>Q1c_C_Def_Marine_Pct</t>
  </si>
  <si>
    <t>Q1c_C_Def_Missile_Pct</t>
  </si>
  <si>
    <t>Q1c_C_Def_Other_Pct</t>
  </si>
  <si>
    <t>Q1c_C_Def_Other_Specify</t>
  </si>
  <si>
    <t>Q1c_C_Def_Space_Pct</t>
  </si>
  <si>
    <t>Q1c_C_Def_Vehic_Pct</t>
  </si>
  <si>
    <t>Q1c_Comment</t>
  </si>
  <si>
    <t>Q3a_A_BusOp_Explain</t>
  </si>
  <si>
    <t>Q3a_A_BusOp_Method</t>
  </si>
  <si>
    <t>Q3a_B_Reject_Busy_Explain</t>
  </si>
  <si>
    <t>Q3a_B_Reject_Busy_YN</t>
  </si>
  <si>
    <t>Q3a_B_Reject_Complex_Explain</t>
  </si>
  <si>
    <t>Q3a_B_Reject_Complex_YN</t>
  </si>
  <si>
    <t>Q3a_B_Reject_Credit_Explain</t>
  </si>
  <si>
    <t>Q3a_B_Reject_Credit_YN</t>
  </si>
  <si>
    <t>Q3a_B_Reject_DollarRecur_Explain</t>
  </si>
  <si>
    <t>Q3a_B_Reject_DollarRecur_YN</t>
  </si>
  <si>
    <t>Q3a_B_Reject_Freq_Explain</t>
  </si>
  <si>
    <t>Q3a_B_Reject_Freq_YN</t>
  </si>
  <si>
    <t>Q3a_B_Reject_Other_Explain</t>
  </si>
  <si>
    <t>Q3a_B_Reject_Other_Specify</t>
  </si>
  <si>
    <t>Q3a_B_Reject_Other_YN</t>
  </si>
  <si>
    <t>Q3a_B_Reject_RunSize_Explain</t>
  </si>
  <si>
    <t>Q3a_B_Reject_RunSize_YN</t>
  </si>
  <si>
    <t>Q3a_B_Reject_Value_Explain</t>
  </si>
  <si>
    <t>Q3a_B_Reject_Value_YN</t>
  </si>
  <si>
    <t>Q3a_Comment</t>
  </si>
  <si>
    <t>Q3b_A_Cost_Explain</t>
  </si>
  <si>
    <t>Q3b_A_Cost_Loc</t>
  </si>
  <si>
    <t>Q3b_A_Enviro_Explain</t>
  </si>
  <si>
    <t>Q3b_A_Enviro_Loc</t>
  </si>
  <si>
    <t>Q3b_A_Equip_Explain</t>
  </si>
  <si>
    <t>Q3b_A_Equip_Loc</t>
  </si>
  <si>
    <t>Q3b_A_Export_Explain</t>
  </si>
  <si>
    <t>Q3b_A_Export_Loc</t>
  </si>
  <si>
    <t>Q3b_A_Labor_Explain</t>
  </si>
  <si>
    <t>Q3b_A_Labor_Loc</t>
  </si>
  <si>
    <t>Q3b_A_Material_Explain</t>
  </si>
  <si>
    <t>Q3b_A_Material_Loc</t>
  </si>
  <si>
    <t>Q3b_A_Other1_Explain</t>
  </si>
  <si>
    <t>Q3b_A_Other1_Loc</t>
  </si>
  <si>
    <t>Q3b_A_Other1_Specify</t>
  </si>
  <si>
    <t>Q3b_A_Other2_Explain</t>
  </si>
  <si>
    <t>Q3b_A_Other2_Loc</t>
  </si>
  <si>
    <t>Q3b_A_Other2_Specify</t>
  </si>
  <si>
    <t>Q3b_A_Perform_Explain</t>
  </si>
  <si>
    <t>Q3b_A_Perform_Loc</t>
  </si>
  <si>
    <t>Q3b_A_Price_Explain</t>
  </si>
  <si>
    <t>Q3b_A_Price_Loc</t>
  </si>
  <si>
    <t>Q3b_A_Quality_Explain</t>
  </si>
  <si>
    <t>Q3b_A_Quality_Loc</t>
  </si>
  <si>
    <t>Q3b_A_RD_Explain</t>
  </si>
  <si>
    <t>Q3b_A_RD_Loc</t>
  </si>
  <si>
    <t>Q3b_A_Safety_Explain</t>
  </si>
  <si>
    <t>Q3b_A_Safety_Loc</t>
  </si>
  <si>
    <t>Q3b_A_Skilled_Explain</t>
  </si>
  <si>
    <t>Q3b_A_Skilled_Loc</t>
  </si>
  <si>
    <t>Q3b_A_Space_Explain</t>
  </si>
  <si>
    <t>Q3b_A_Space_Loc</t>
  </si>
  <si>
    <t>Q3b_A_Time_Explain</t>
  </si>
  <si>
    <t>Q3b_A_Time_Loc</t>
  </si>
  <si>
    <t>Q3b_A_Variability_Explain</t>
  </si>
  <si>
    <t>Q3b_A_Variability_Loc</t>
  </si>
  <si>
    <t>Q3b_A_Yield_Explain</t>
  </si>
  <si>
    <t>Q3b_A_Yield_Loc</t>
  </si>
  <si>
    <t>Q3b_Comment</t>
  </si>
  <si>
    <t>Q4a_A_Army</t>
  </si>
  <si>
    <t>Q4a_A_DHS</t>
  </si>
  <si>
    <t>Q4a_A_DOE</t>
  </si>
  <si>
    <t>Q4a_A_Intel</t>
  </si>
  <si>
    <t>Q4a_A_Marines</t>
  </si>
  <si>
    <t>Q4a_A_MDA</t>
  </si>
  <si>
    <t>Q4a_A_NASA</t>
  </si>
  <si>
    <t>Q4a_A_Navy</t>
  </si>
  <si>
    <t>Q4a_A_NOAA</t>
  </si>
  <si>
    <t>Q4a_A_Other1</t>
  </si>
  <si>
    <t>Q4a_A_Other1_Specify</t>
  </si>
  <si>
    <t>Q4a_A_Other2</t>
  </si>
  <si>
    <t>Q4a_A_Other2_Specify</t>
  </si>
  <si>
    <t>Q4a_A_Other3</t>
  </si>
  <si>
    <t>Q4a_A_Other3_Specify</t>
  </si>
  <si>
    <t>Q4a_A_Other4</t>
  </si>
  <si>
    <t>Q4a_A_Other4_Specify</t>
  </si>
  <si>
    <t>Q4a_A_Other5</t>
  </si>
  <si>
    <t>Q4a_A_Other5_Specify</t>
  </si>
  <si>
    <t>Q4a_A_USAF</t>
  </si>
  <si>
    <t>Q4a_B_TotalUSGSupport</t>
  </si>
  <si>
    <t>Q4a_Comment</t>
  </si>
  <si>
    <t>Q4b_A_DepUSG_YN</t>
  </si>
  <si>
    <t>Q4b_B_CapEx_Decrease</t>
  </si>
  <si>
    <t>Q4b_B_CapEx_Explain</t>
  </si>
  <si>
    <t>Q4b_B_CapEx_Increase</t>
  </si>
  <si>
    <t>Q4b_B_Costs_Decrease</t>
  </si>
  <si>
    <t>Q4b_B_Costs_Explain</t>
  </si>
  <si>
    <t>Q4b_B_Costs_Increase</t>
  </si>
  <si>
    <t>Q4b_B_Equipment_Decrease</t>
  </si>
  <si>
    <t>Q4b_B_Equipment_Explain</t>
  </si>
  <si>
    <t>Q4b_B_Equipment_Increase</t>
  </si>
  <si>
    <t>Q4b_B_Move_Decrease</t>
  </si>
  <si>
    <t>Q4b_B_Move_Explain</t>
  </si>
  <si>
    <t>Q4b_B_Move_Increase</t>
  </si>
  <si>
    <t>Q4b_B_NonUS_Decrease</t>
  </si>
  <si>
    <t>Q4b_B_NonUS_Explain</t>
  </si>
  <si>
    <t>Q4b_B_NonUS_Increase</t>
  </si>
  <si>
    <t>Q4b_B_Number_Decrease</t>
  </si>
  <si>
    <t>Q4b_B_Number_Explain</t>
  </si>
  <si>
    <t>Q4b_B_Number_Increase</t>
  </si>
  <si>
    <t>Q4b_B_Other1_Decrease</t>
  </si>
  <si>
    <t>Q4b_B_Other1_Explain</t>
  </si>
  <si>
    <t>Q4b_B_Other1_Increase</t>
  </si>
  <si>
    <t>Q4b_B_Other1_Specify</t>
  </si>
  <si>
    <t>Q4b_B_Other2_Decrease</t>
  </si>
  <si>
    <t>Q4b_B_Other2_Explain</t>
  </si>
  <si>
    <t>Q4b_B_Other2_Increase</t>
  </si>
  <si>
    <t>Q4b_B_Other2_Specify</t>
  </si>
  <si>
    <t>Q4b_B_RD_Decrease</t>
  </si>
  <si>
    <t>Q4b_B_RD_Explain</t>
  </si>
  <si>
    <t>Q4b_B_RD_Increase</t>
  </si>
  <si>
    <t>Q4b_B_Skills_Decrease</t>
  </si>
  <si>
    <t>Q4b_B_Skills_Explain</t>
  </si>
  <si>
    <t>Q4b_B_Skills_Increase</t>
  </si>
  <si>
    <t>Q4b_B_USG_Decrease</t>
  </si>
  <si>
    <t>Q4b_B_USG_Explain</t>
  </si>
  <si>
    <t>Q4b_B_USG_Increase</t>
  </si>
  <si>
    <t>Q4b_B_Viability_Decrease</t>
  </si>
  <si>
    <t>Q4b_B_Viability_Explain</t>
  </si>
  <si>
    <t>Q4b_B_Viability_Increase</t>
  </si>
  <si>
    <t>Q4b_Comment</t>
  </si>
  <si>
    <t>Q5a_B_MaxLayer</t>
  </si>
  <si>
    <t>Q5a_B_MinLayer</t>
  </si>
  <si>
    <t>Q5a_C_PE_Activities</t>
  </si>
  <si>
    <t>Q5a_C_PE_Activities_Explain</t>
  </si>
  <si>
    <t>Q5a_C_PE_Sectors</t>
  </si>
  <si>
    <t>Q5a_C_PE_Sectors_Explain</t>
  </si>
  <si>
    <t>Q5a_C_PE_YN</t>
  </si>
  <si>
    <t>Q5a_Comment</t>
  </si>
  <si>
    <t>Q5b_B_Max_Imped</t>
  </si>
  <si>
    <t>Q5b_B_Max_Imped_Explain</t>
  </si>
  <si>
    <t>Q5b_B_Max_Lamin</t>
  </si>
  <si>
    <t>Q5b_B_Max_Lamin_Explain</t>
  </si>
  <si>
    <t>Q5b_B_Max_Layers</t>
  </si>
  <si>
    <t>Q5b_B_Max_Layers_Explain</t>
  </si>
  <si>
    <t>Q5b_B_Max_Stacked</t>
  </si>
  <si>
    <t>Q5b_B_Max_Stacked_Explain</t>
  </si>
  <si>
    <t>Q5b_B_Max_Staggered</t>
  </si>
  <si>
    <t>Q5b_B_Max_Staggered_Explain</t>
  </si>
  <si>
    <t>Q5b_C_ViaFill_Facility_Explain</t>
  </si>
  <si>
    <t>Q5b_C_ViaFill_Facility_Process</t>
  </si>
  <si>
    <t>Q5b_C_ViaFill_Facility_YN</t>
  </si>
  <si>
    <t>Q5b_C_ViaFill_OtherNonUS_Explain</t>
  </si>
  <si>
    <t>Q5b_C_ViaFill_OtherNonUS_Process</t>
  </si>
  <si>
    <t>Q5b_C_ViaFill_OtherNonUS_YN</t>
  </si>
  <si>
    <t>Q5b_C_ViaFill_OtherUS_Explain</t>
  </si>
  <si>
    <t>Q5b_C_ViaFill_OtherUS_Process</t>
  </si>
  <si>
    <t>Q5b_C_ViaFill_OtherUS_YN</t>
  </si>
  <si>
    <t>Q5b_C_ViaFill_OwnNonUS_Explain</t>
  </si>
  <si>
    <t>Q5b_C_ViaFill_OwnNonUS_Process</t>
  </si>
  <si>
    <t>Q5b_C_ViaFill_OwnNonUS_YN</t>
  </si>
  <si>
    <t>Q5b_C_ViaFill_OwnUS_Explain</t>
  </si>
  <si>
    <t>Q5b_C_ViaFill_OwnUS_Process</t>
  </si>
  <si>
    <t>Q5b_C_ViaFill_OwnUS_YN</t>
  </si>
  <si>
    <t>Q5b_Comment</t>
  </si>
  <si>
    <t>Q5b_D_ChemSmear</t>
  </si>
  <si>
    <t>Q5b_D_Drill_Controlled</t>
  </si>
  <si>
    <t>Q5b_D_Drill_Laser</t>
  </si>
  <si>
    <t>Q5b_D_Drill_Through</t>
  </si>
  <si>
    <t>Q5b_D_Etchback</t>
  </si>
  <si>
    <t>Q5b_D_Laser</t>
  </si>
  <si>
    <t>Q5b_D_Nonconduct</t>
  </si>
  <si>
    <t>Q5b_D_Plasma</t>
  </si>
  <si>
    <t>Q5b_D_SolidCopper</t>
  </si>
  <si>
    <t>Q5c_B_TRB_Explain</t>
  </si>
  <si>
    <t>Q5c_B_TRB_YN</t>
  </si>
  <si>
    <t>Q5c_C_AS9102</t>
  </si>
  <si>
    <t>Q5c_C_Explain</t>
  </si>
  <si>
    <t>Q5c_C_InspectMethod</t>
  </si>
  <si>
    <t>Q5c_Comment</t>
  </si>
  <si>
    <t>Q5c_D_Continuity</t>
  </si>
  <si>
    <t>Q5c_D_Flying</t>
  </si>
  <si>
    <t>Q5c_D_HALT</t>
  </si>
  <si>
    <t>Q5c_D_HAST</t>
  </si>
  <si>
    <t>Q5c_D_HATS</t>
  </si>
  <si>
    <t>Q5c_D_Impedance</t>
  </si>
  <si>
    <t>Q5c_D_Interconnect</t>
  </si>
  <si>
    <t>Q5c_D_Isolation</t>
  </si>
  <si>
    <t>Q5c_D_Nails</t>
  </si>
  <si>
    <t>Q5c_D_TestAllNoPhase</t>
  </si>
  <si>
    <t>Q5c_E_MRP</t>
  </si>
  <si>
    <t>Q5c_E_StatProcessCtrl</t>
  </si>
  <si>
    <t>Q5d_A_Layers_2012</t>
  </si>
  <si>
    <t>Q5d_A_Layers_2013</t>
  </si>
  <si>
    <t>Q5d_A_Layers_2014</t>
  </si>
  <si>
    <t>Q5d_A_Layers_2015</t>
  </si>
  <si>
    <t>Q5d_A_Panels_2012</t>
  </si>
  <si>
    <t>Q5d_A_Panels_2013</t>
  </si>
  <si>
    <t>Q5d_A_Panels_2014</t>
  </si>
  <si>
    <t>Q5d_A_Panels_2015</t>
  </si>
  <si>
    <t>Q5d_B_12x18</t>
  </si>
  <si>
    <t>Q5d_B_12x24</t>
  </si>
  <si>
    <t>Q5d_B_18x24</t>
  </si>
  <si>
    <t>Q5d_B_21x24</t>
  </si>
  <si>
    <t>Q5d_B_24x30</t>
  </si>
  <si>
    <t>Q5d_B_24x36</t>
  </si>
  <si>
    <t>Q5d_B_9x12</t>
  </si>
  <si>
    <t>Q5d_B_Comments</t>
  </si>
  <si>
    <t>Q5d_B_Other</t>
  </si>
  <si>
    <t>Q5d_C_Capacity_Layers</t>
  </si>
  <si>
    <t>Q5d_C_Capacity_Panels</t>
  </si>
  <si>
    <t>Q5d_Comment</t>
  </si>
  <si>
    <t>Q5d_D_Explain</t>
  </si>
  <si>
    <t>Q5d_D_FrontEndShift_Current</t>
  </si>
  <si>
    <t>Q5d_D_FrontEndShift_Possible</t>
  </si>
  <si>
    <t>Q5d_D_ProdShift_Current</t>
  </si>
  <si>
    <t>Q5d_D_ProdShift_Possible</t>
  </si>
  <si>
    <t>Q5d_E_Utilization_2012</t>
  </si>
  <si>
    <t>Q5d_E_Utilization_2013</t>
  </si>
  <si>
    <t>Q5d_E_Utilization_2014</t>
  </si>
  <si>
    <t>Q5d_E_Utilization_2015</t>
  </si>
  <si>
    <t>Q5d_F_Explain</t>
  </si>
  <si>
    <t>Q5d_F_Weeksto100</t>
  </si>
  <si>
    <t>Q5d_F_Weeksto150</t>
  </si>
  <si>
    <t>Q5d_G_AmountEq_100</t>
  </si>
  <si>
    <t>Q5d_G_AmountEq_150</t>
  </si>
  <si>
    <t>Q5d_G_AmountEq_Explain</t>
  </si>
  <si>
    <t>Q5d_G_AvailEq_100</t>
  </si>
  <si>
    <t>Q5d_G_AvailEq_150</t>
  </si>
  <si>
    <t>Q5d_G_AvailEq_Explain</t>
  </si>
  <si>
    <t>Q5d_G_AvailInput_100</t>
  </si>
  <si>
    <t>Q5d_G_AvailInput_150</t>
  </si>
  <si>
    <t>Q5d_G_AvailInput_Explain</t>
  </si>
  <si>
    <t>Q5d_G_Labor_100</t>
  </si>
  <si>
    <t>Q5d_G_Labor_150</t>
  </si>
  <si>
    <t>Q5d_G_Labor_Explain</t>
  </si>
  <si>
    <t>Q5d_G_Other_100</t>
  </si>
  <si>
    <t>Q5d_G_Other_150</t>
  </si>
  <si>
    <t>Q5d_G_Other_Explain</t>
  </si>
  <si>
    <t>Q5d_G_QC_100</t>
  </si>
  <si>
    <t>Q5d_G_QC_150</t>
  </si>
  <si>
    <t>Q5d_G_QC_Explain</t>
  </si>
  <si>
    <t>Q5d_G_Space_100</t>
  </si>
  <si>
    <t>Q5d_G_Space_150</t>
  </si>
  <si>
    <t>Q5d_G_Space_Explain</t>
  </si>
  <si>
    <t>Q5e_B_FrontEnd_Comm_Change</t>
  </si>
  <si>
    <t>Q5e_B_FrontEnd_Comm_Explain</t>
  </si>
  <si>
    <t>Q5e_B_FrontEnd_Def_Change</t>
  </si>
  <si>
    <t>Q5e_B_FrontEnd_Def_Explain</t>
  </si>
  <si>
    <t>Q5e_C_Outsource_Comm_Country1</t>
  </si>
  <si>
    <t>Q5e_C_Outsource_Comm_Country2</t>
  </si>
  <si>
    <t>Q5e_C_Outsource_Comm_Country3</t>
  </si>
  <si>
    <t>Q5e_C_Outsource_Comm_YN</t>
  </si>
  <si>
    <t>Q5e_C_Outsource_Def_Country1</t>
  </si>
  <si>
    <t>Q5e_C_Outsource_Def_Country2</t>
  </si>
  <si>
    <t>Q5e_C_Outsource_Def_Country3</t>
  </si>
  <si>
    <t>Q5e_C_Outsource_Def_YN</t>
  </si>
  <si>
    <t>Q5e_C_OutsourceFrontEnd</t>
  </si>
  <si>
    <t>Q5e_C_OutsourceFrontEnd_Notify</t>
  </si>
  <si>
    <t>Q5e_C_OwnFrontEnd</t>
  </si>
  <si>
    <t>Q5e_C_ProvideFrontEnd</t>
  </si>
  <si>
    <t>Q5e_Comment</t>
  </si>
  <si>
    <t>Q5e_D_Bottleneck1</t>
  </si>
  <si>
    <t>Q5e_D_Bottleneck1_Explain</t>
  </si>
  <si>
    <t>Q5e_D_Bottleneck2</t>
  </si>
  <si>
    <t>Q5e_D_Bottleneck2_Explain</t>
  </si>
  <si>
    <t>Q5e_D_Bottleneck3</t>
  </si>
  <si>
    <t>Q5e_D_Bottleneck3_Explain</t>
  </si>
  <si>
    <t>Q6a_Comment</t>
  </si>
  <si>
    <t>Q6b_A1_Continue_Weeks</t>
  </si>
  <si>
    <t>Q6b_A2_Supplier_Weeks</t>
  </si>
  <si>
    <t>Q6b_A3_SuppProb_Explain</t>
  </si>
  <si>
    <t>Q6b_A3_SuppProb_YN</t>
  </si>
  <si>
    <t>Q6b_A4_RampUpMaterial_Explain</t>
  </si>
  <si>
    <t>Q6b_A4_RampUpMaterial_YN</t>
  </si>
  <si>
    <t>Q6b_B_InventoryDesc</t>
  </si>
  <si>
    <t>Q6b_B_InventoryExplain</t>
  </si>
  <si>
    <t>Q6b_C_Explain</t>
  </si>
  <si>
    <t>Q6b_C1_OnSite</t>
  </si>
  <si>
    <t>Q6b_C2_Local</t>
  </si>
  <si>
    <t>Q6b_Comment</t>
  </si>
  <si>
    <t>Q6c_B_Parts_Explain</t>
  </si>
  <si>
    <t>Q6c_B_Parts_NonUS</t>
  </si>
  <si>
    <t>Q6c_B_Service_Explain</t>
  </si>
  <si>
    <t>Q6c_B_Service_NonUS</t>
  </si>
  <si>
    <t>Q6c_B_Service_US</t>
  </si>
  <si>
    <t>Q6c_C_EquipLimits_Explain</t>
  </si>
  <si>
    <t>Q6c_C_EquipLimits_YN</t>
  </si>
  <si>
    <t>Q6c_C_TLEquip_Explain</t>
  </si>
  <si>
    <t>Q6c_C_TLEquip_YN</t>
  </si>
  <si>
    <t>Q6c_Comment</t>
  </si>
  <si>
    <t>Q6d_A_Counterfeit_Laminate</t>
  </si>
  <si>
    <t>Q6d_A_Counterfeit_Laminate_Explain</t>
  </si>
  <si>
    <t>Q6d_A_Counterfeit_Other</t>
  </si>
  <si>
    <t>Q6d_A_Counterfeit_Other_Explain</t>
  </si>
  <si>
    <t>Q6d_A_Counterfeit_Other_Specify</t>
  </si>
  <si>
    <t>Q6d_A_Counterfeit_Prepreg</t>
  </si>
  <si>
    <t>Q6d_A_Counterfeit_Prepreg_Explain</t>
  </si>
  <si>
    <t>Q6d_A_Counterfeit_Soldermask</t>
  </si>
  <si>
    <t>Q6d_A_Counterfeit_Soldermask_Explain</t>
  </si>
  <si>
    <t>Q6d_B_CheckAuth</t>
  </si>
  <si>
    <t>Q6d_B_Confirm</t>
  </si>
  <si>
    <t>Q6d_B_NonOEM</t>
  </si>
  <si>
    <t>Q6d_B_Other1</t>
  </si>
  <si>
    <t>Q6d_B_Other1_Specify</t>
  </si>
  <si>
    <t>Q6d_B_Other2</t>
  </si>
  <si>
    <t>Q6d_B_Other2_Specify</t>
  </si>
  <si>
    <t>Q6d_B_SystematicTest</t>
  </si>
  <si>
    <t>Q6d_Comment</t>
  </si>
  <si>
    <t>RP_B_Assembly_YN</t>
  </si>
  <si>
    <t>RP_B_DesignYN</t>
  </si>
  <si>
    <t>RP_B_ManufactureYN</t>
  </si>
  <si>
    <t>RP_C_OrgStructure</t>
  </si>
  <si>
    <t xml:space="preserve">Please provide the following identification codes (see definitions), as applicable, to this facility.  </t>
  </si>
  <si>
    <t>DUNS1</t>
  </si>
  <si>
    <t>DUNS2</t>
  </si>
  <si>
    <t>DUNS3</t>
  </si>
  <si>
    <t>DUNS4</t>
  </si>
  <si>
    <t>DUNS5</t>
  </si>
  <si>
    <t>DUNS6</t>
  </si>
  <si>
    <t>DUNS7</t>
  </si>
  <si>
    <t>DUNS8</t>
  </si>
  <si>
    <t>DUNS9</t>
  </si>
  <si>
    <t>DUNS10</t>
  </si>
  <si>
    <t>NAICS1</t>
  </si>
  <si>
    <t>NAICS2</t>
  </si>
  <si>
    <t>NAICS3</t>
  </si>
  <si>
    <t>NAICS4</t>
  </si>
  <si>
    <t>NAICS5</t>
  </si>
  <si>
    <t>NAICS6</t>
  </si>
  <si>
    <t>NAICS7</t>
  </si>
  <si>
    <t>NAICS8</t>
  </si>
  <si>
    <t>NAICS9</t>
  </si>
  <si>
    <t>NAICS10</t>
  </si>
  <si>
    <t>Entry</t>
  </si>
  <si>
    <t>Section</t>
  </si>
  <si>
    <t>Primary Objective/Purpose</t>
  </si>
  <si>
    <t>Total Number</t>
  </si>
  <si>
    <t>Joint Venture</t>
  </si>
  <si>
    <t>.</t>
  </si>
  <si>
    <t>Comment</t>
  </si>
  <si>
    <t>Category</t>
  </si>
  <si>
    <t>U.S. Customer</t>
  </si>
  <si>
    <t>Non-U.S. Customer</t>
  </si>
  <si>
    <t>U.S. Competitor</t>
  </si>
  <si>
    <t>Non-U.S. Competitor</t>
  </si>
  <si>
    <t>Customer Type</t>
  </si>
  <si>
    <t>Customer - Primary End Use</t>
  </si>
  <si>
    <t>State/Country</t>
  </si>
  <si>
    <t>Competitor Explanation</t>
  </si>
  <si>
    <t>Competitor PrimaryAttribute</t>
  </si>
  <si>
    <t>Q4b_A_DepUSG_Explain</t>
  </si>
  <si>
    <t>Q4b_A_Integration</t>
  </si>
  <si>
    <t>Q4b_A_Integration_Explain</t>
  </si>
  <si>
    <t>Program Number</t>
  </si>
  <si>
    <t>Support - Rigid</t>
  </si>
  <si>
    <t>Support - Flex</t>
  </si>
  <si>
    <t>Support - Rigid-Flex</t>
  </si>
  <si>
    <t>Capable Tin-Lead (5a)</t>
  </si>
  <si>
    <t>Capable Lead Free (5a)</t>
  </si>
  <si>
    <t>Anticipated Change (5e)</t>
  </si>
  <si>
    <t>Change Explanation (5e)</t>
  </si>
  <si>
    <t>Measurement</t>
  </si>
  <si>
    <t>Trace Width</t>
  </si>
  <si>
    <t>Space Width</t>
  </si>
  <si>
    <t>Copper Weight</t>
  </si>
  <si>
    <t>Capable</t>
  </si>
  <si>
    <t>Process (5bA)</t>
  </si>
  <si>
    <t>Manufacturer Name</t>
  </si>
  <si>
    <t>Manufacturer Number</t>
  </si>
  <si>
    <t>Reporting Schedule</t>
  </si>
  <si>
    <t>Source of Data</t>
  </si>
  <si>
    <t>U.S/Non-U.S.</t>
  </si>
  <si>
    <t>Type of Sales</t>
  </si>
  <si>
    <t>Value</t>
  </si>
  <si>
    <t>Percentage</t>
  </si>
  <si>
    <t>Total Sales</t>
  </si>
  <si>
    <t>Total Sales - Government</t>
  </si>
  <si>
    <t>Total Sales - Non-Government</t>
  </si>
  <si>
    <t>All CB Sales</t>
  </si>
  <si>
    <t>All CB Sales - Government</t>
  </si>
  <si>
    <t>All CB Sales - Non-Government</t>
  </si>
  <si>
    <t>Bare CB Manufacturing Sales</t>
  </si>
  <si>
    <t>Bare CB Manufacturing Sales - Government</t>
  </si>
  <si>
    <t>Bare CB Manufacturing Sales - Non-Government</t>
  </si>
  <si>
    <t>Combined</t>
  </si>
  <si>
    <t>Value (Thousands)</t>
  </si>
  <si>
    <t>Income/Balance Sheet</t>
  </si>
  <si>
    <t>Line Item</t>
  </si>
  <si>
    <t>Income Statement</t>
  </si>
  <si>
    <t>Balance Sheet</t>
  </si>
  <si>
    <t>Current Assets</t>
  </si>
  <si>
    <t>Current Liabilities</t>
  </si>
  <si>
    <t>Item</t>
  </si>
  <si>
    <t>Current Ratio</t>
  </si>
  <si>
    <t>Quick Ratio</t>
  </si>
  <si>
    <t>Total Asset Turnover</t>
  </si>
  <si>
    <t>COGS-Based Inventory Turnover</t>
  </si>
  <si>
    <t>Debt Ratio</t>
  </si>
  <si>
    <t>Debt-to-Equity Ratio</t>
  </si>
  <si>
    <t>Equity Multiplier</t>
  </si>
  <si>
    <t>Net Profit Margin</t>
  </si>
  <si>
    <t>Net Return on Assets</t>
  </si>
  <si>
    <t>EBIT Return on Assets</t>
  </si>
  <si>
    <t>Return on Earnings</t>
  </si>
  <si>
    <t>Gross Profit Margin</t>
  </si>
  <si>
    <t>Z-Score Model A</t>
  </si>
  <si>
    <t>Z-Score Model B</t>
  </si>
  <si>
    <t>Sales-Based Inventory Turnover</t>
  </si>
  <si>
    <t>Operating Profit Margin</t>
  </si>
  <si>
    <t>EBIT Profit Margin</t>
  </si>
  <si>
    <t>Sales Per Employee</t>
  </si>
  <si>
    <t>R&amp;D Intensity</t>
  </si>
  <si>
    <t>Metric</t>
  </si>
  <si>
    <t>Score Calculation:</t>
  </si>
  <si>
    <t>Condition</t>
  </si>
  <si>
    <t>average</t>
  </si>
  <si>
    <t>Profits</t>
  </si>
  <si>
    <t>Operating Margin</t>
  </si>
  <si>
    <t>1 if negative</t>
  </si>
  <si>
    <t>EBIT Margin</t>
  </si>
  <si>
    <t>Net Margin</t>
  </si>
  <si>
    <t>Debt/Liquidity</t>
  </si>
  <si>
    <t>debt ratio (total liab/total assets)</t>
  </si>
  <si>
    <t>2 if &gt;2, 1 if [1,2]</t>
  </si>
  <si>
    <t>debt/equity</t>
  </si>
  <si>
    <t>1 if &gt;2</t>
  </si>
  <si>
    <t>current ratio (current assets/current liab)</t>
  </si>
  <si>
    <t>2 if &lt;.85, 1 if [.85, 1]</t>
  </si>
  <si>
    <t>quick ratio ((current assets-inventories)/current liab)</t>
  </si>
  <si>
    <t>1 if &lt;.65</t>
  </si>
  <si>
    <t>Z-Score</t>
  </si>
  <si>
    <t>Model A ((CurrentAssets-CurrentLiabilities)/TotalAssets)*0.717 + (RetainedEarnings/TotalAssets)*0.847 + (EBIT/TotalAssets)*3.107 + (TotalOwnersEquity/TotalLiabilities)*0.42 + (Netsales/TotalAssets)*0.998</t>
  </si>
  <si>
    <t>3 if &lt; 1.23, 2 if [1.23, 2.9]</t>
  </si>
  <si>
    <t>Model B ((CurrentAsset-CurrentLiabilities)/TotalAssets)*6.56 + (RetainedEarnings/TotalAssets)*3.26 + (EBIT/TotalAssets)*6.72 + (OwnersEquity/TotalLiabilities)*1.05</t>
  </si>
  <si>
    <t>3 if &lt; 1.1, 2 if [1.1, 2.6]</t>
  </si>
  <si>
    <t>Time Progression</t>
  </si>
  <si>
    <t>COGS-based inventory turn</t>
  </si>
  <si>
    <t>1 if periodic decline &gt; 1</t>
  </si>
  <si>
    <t>R&amp;D intensity</t>
  </si>
  <si>
    <t>1 if periodic decline &gt; .01</t>
  </si>
  <si>
    <t>Sales performance</t>
  </si>
  <si>
    <t>Operating income performance</t>
  </si>
  <si>
    <t>1 if periodic decline</t>
  </si>
  <si>
    <t>Risk Change</t>
  </si>
  <si>
    <t>Periodic Change in Risk</t>
  </si>
  <si>
    <t>Risk Designation based on Period Score</t>
  </si>
  <si>
    <t>Income Source</t>
  </si>
  <si>
    <t>Balance Source</t>
  </si>
  <si>
    <t>Period Risk Score</t>
  </si>
  <si>
    <t>Period Risk Rating</t>
  </si>
  <si>
    <t>USG Dependent</t>
  </si>
  <si>
    <t>Viability</t>
  </si>
  <si>
    <t>ROI</t>
  </si>
  <si>
    <t>Change in Operations</t>
  </si>
  <si>
    <t xml:space="preserve">Insufficient commercial ROI </t>
  </si>
  <si>
    <t>Potential Facility Closure</t>
  </si>
  <si>
    <t>2 if Potential Closure, 1 if Contraction</t>
  </si>
  <si>
    <t>1 if Commercial ROI insufficient</t>
  </si>
  <si>
    <t>Decrease in Viability from Decrease in USG Demand</t>
  </si>
  <si>
    <t>1 if Decrease</t>
  </si>
  <si>
    <t>1 if Dependent</t>
  </si>
  <si>
    <t>Static - Annual (20 Max)</t>
  </si>
  <si>
    <t>Static + Time (24 Max)</t>
  </si>
  <si>
    <t>-1 if risk drops by more than 3 points, 1 if risk increases by more than 3 points</t>
  </si>
  <si>
    <t>Final Score (25 max)</t>
  </si>
  <si>
    <t>Final Period Score (100 max)</t>
  </si>
  <si>
    <t>Dependent on USG Programs</t>
  </si>
  <si>
    <t>2015 Risk Score</t>
  </si>
  <si>
    <t>Expenditure/Funding</t>
  </si>
  <si>
    <t>Expenditure</t>
  </si>
  <si>
    <t>Total Expenditures</t>
  </si>
  <si>
    <t>Funding</t>
  </si>
  <si>
    <t>Total Funding</t>
  </si>
  <si>
    <t>Internal/IRAD</t>
  </si>
  <si>
    <t>Federal Government</t>
  </si>
  <si>
    <t>State and Local Government</t>
  </si>
  <si>
    <t>U.S. Industry</t>
  </si>
  <si>
    <t>Non-U.S. Investors</t>
  </si>
  <si>
    <t>Perform R&amp;D at All?</t>
  </si>
  <si>
    <t>Bare Board R&amp;D</t>
  </si>
  <si>
    <t>Defense Bare Board R&amp;D</t>
  </si>
  <si>
    <t>Q9b_A_Priority1_Select</t>
  </si>
  <si>
    <t>Q9b_A_Priority1_Explain</t>
  </si>
  <si>
    <t>Q9b_A_Priority2_Select</t>
  </si>
  <si>
    <t>Q9b_A_Priority2_Explain</t>
  </si>
  <si>
    <t>Q9b_A_Priority3_Select</t>
  </si>
  <si>
    <t>Q9b_A_Priority3_Explain</t>
  </si>
  <si>
    <t>Q9b_A_Priority4_Select</t>
  </si>
  <si>
    <t>Q9b_A_Priority4_Explain</t>
  </si>
  <si>
    <t>Q9b_A_Priority5_Select</t>
  </si>
  <si>
    <t>Q9b_A_Priority5_Explain</t>
  </si>
  <si>
    <t>Q9b_B_CompAdv_YN</t>
  </si>
  <si>
    <t>Q9b_B_CompAdv_Explain</t>
  </si>
  <si>
    <t>Q9b_B_Requirements_YN</t>
  </si>
  <si>
    <t>Q9b_B_Requirements_Explain</t>
  </si>
  <si>
    <t>Q9b_B_Industry_YN</t>
  </si>
  <si>
    <t>Q9b_B_Industry_Explain</t>
  </si>
  <si>
    <t>Q9b_B_Other1_Specify</t>
  </si>
  <si>
    <t>Q9b_B_Other1_YN</t>
  </si>
  <si>
    <t>Q9b_B_Other1_Explain</t>
  </si>
  <si>
    <t>Q9b_B_Other2_Specify</t>
  </si>
  <si>
    <t>Q9b_B_Other2_YN</t>
  </si>
  <si>
    <t>Q9b_B_Other2_Explain</t>
  </si>
  <si>
    <t>Q9b_B_Other3_Specify</t>
  </si>
  <si>
    <t>Q9b_B_Other3_YN</t>
  </si>
  <si>
    <t>Q9b_B_Other3_Explain</t>
  </si>
  <si>
    <t>Q9b_C_USGImpact_YN</t>
  </si>
  <si>
    <t>Q9b_C_USGImpact_Explain</t>
  </si>
  <si>
    <t>Q9b_D_DODHelp_YN</t>
  </si>
  <si>
    <t>Q9b_D_DODHelp_Explain</t>
  </si>
  <si>
    <t>Q9b_D_DODFocus1_Select</t>
  </si>
  <si>
    <t>Q9b_D_DODFocus1_Explain</t>
  </si>
  <si>
    <t>Q9b_D_DODFocus2_Select</t>
  </si>
  <si>
    <t>Q9b_D_DODFocus2_Explain</t>
  </si>
  <si>
    <t>Q9b_D_DODFocus3_Select</t>
  </si>
  <si>
    <t>Q9b_D_DODFocus3_Explain</t>
  </si>
  <si>
    <t>Q9b_Comment</t>
  </si>
  <si>
    <t>Q10_B_USGImpact_YN</t>
  </si>
  <si>
    <t>Q10_B_USGImpact_Explain</t>
  </si>
  <si>
    <t>Q10_Comment</t>
  </si>
  <si>
    <t>Machinery, Equipment, and Vehicles</t>
  </si>
  <si>
    <t>IT, Computers, Software</t>
  </si>
  <si>
    <t>Land, Buildings, and Leasehold Improvements</t>
  </si>
  <si>
    <t>Bare circuit board-related Expenditures</t>
  </si>
  <si>
    <t>CapEx Priority Number</t>
  </si>
  <si>
    <t>CapEx Priority</t>
  </si>
  <si>
    <t>Priority Explanation</t>
  </si>
  <si>
    <t>Q11a_C_USCitizens_YN</t>
  </si>
  <si>
    <t>Q11a_C_USCitizens_Explain</t>
  </si>
  <si>
    <t>Q11a_C_Qualified_YN</t>
  </si>
  <si>
    <t>Q11a_C_Qualified_Explain</t>
  </si>
  <si>
    <t>Q11a_C_Exper_YN</t>
  </si>
  <si>
    <t>Q11a_C_Exper_Explain</t>
  </si>
  <si>
    <t>Q11a_C_Clearance_YN</t>
  </si>
  <si>
    <t>Q11a_C_Clearance_Explain</t>
  </si>
  <si>
    <t>Q11a_C_Location_YN</t>
  </si>
  <si>
    <t>Q11a_C_Location_Explain</t>
  </si>
  <si>
    <t>Q11a_C_Retirement_YN</t>
  </si>
  <si>
    <t>Q11a_C_Retirement_Explain</t>
  </si>
  <si>
    <t>Q11a_C_Turnover_YN</t>
  </si>
  <si>
    <t>Q11a_C_Turnover_Explain</t>
  </si>
  <si>
    <t>Q11a_C_Other1_Specify</t>
  </si>
  <si>
    <t>Q11a_C_Other1_YN</t>
  </si>
  <si>
    <t>Q11a_C_Other1_Explain</t>
  </si>
  <si>
    <t>Q11a_C_Other2_Specify</t>
  </si>
  <si>
    <t>Q11a_C_Other2_YN</t>
  </si>
  <si>
    <t>Q11a_C_Other2_Explain</t>
  </si>
  <si>
    <t>Q11a_Comment</t>
  </si>
  <si>
    <t>Q11b_A_RetirePct</t>
  </si>
  <si>
    <t>Q11b_A_ReplacePct</t>
  </si>
  <si>
    <t>Q11b_A_Explain</t>
  </si>
  <si>
    <t>Q11b_B_Over20_Count</t>
  </si>
  <si>
    <t>Q11b_B_11to20_Count</t>
  </si>
  <si>
    <t>Q11b_B_6to10_Count</t>
  </si>
  <si>
    <t>Q11b_B_Under5_Count</t>
  </si>
  <si>
    <t>Q11b_B_Over20_PctUS</t>
  </si>
  <si>
    <t>Q11b_B_11to20_PctUS</t>
  </si>
  <si>
    <t>Q11b_B_6to10_PctUS</t>
  </si>
  <si>
    <t>Q11b_B_Under5_PctUS</t>
  </si>
  <si>
    <t>Q11b_Comment</t>
  </si>
  <si>
    <t>FTE Employees</t>
  </si>
  <si>
    <t>Administrative, Management, &amp; Legal Staff</t>
  </si>
  <si>
    <t>Engineers, Scientists, and R&amp;D Staff</t>
  </si>
  <si>
    <t>Facility &amp; Maintenance Staff</t>
  </si>
  <si>
    <t>Information Technology Professionals</t>
  </si>
  <si>
    <t>Marketing &amp; Sales</t>
  </si>
  <si>
    <t>Production Line Workers</t>
  </si>
  <si>
    <t>Testing Operators, Quality Control, and Support Technicians</t>
  </si>
  <si>
    <t>Q11a_B_Difficulty_YN</t>
  </si>
  <si>
    <t># Employees over 20 Years Experience</t>
  </si>
  <si>
    <t># Employees over 6-10 Years Experience</t>
  </si>
  <si>
    <t># Employees over 11-20 Years Experience</t>
  </si>
  <si>
    <t># Employees over 0-5 Years Experience</t>
  </si>
  <si>
    <t>ALL FTE</t>
  </si>
  <si>
    <t>All FTE U.S. Citizens (%)</t>
  </si>
  <si>
    <t>ALL FTE U.S. Citizens (Calculated Number)</t>
  </si>
  <si>
    <t>Q12a_A_OpsChange_Type</t>
  </si>
  <si>
    <t>Q12a_A_OpsChange_Explain</t>
  </si>
  <si>
    <t>Q12a_B1_EnviroAffect_YN</t>
  </si>
  <si>
    <t>Q12a_B1_EnviroAffect_Explain</t>
  </si>
  <si>
    <t>Q12a_B2_CeaseTL_YN</t>
  </si>
  <si>
    <t>Q12a_B2_CeaseTL_Year</t>
  </si>
  <si>
    <t>Q12a_B2_CeaseTL_Explain</t>
  </si>
  <si>
    <t>Q12a_B3_EnviroInventory_YN</t>
  </si>
  <si>
    <t>Q12a_B3_EnviroInventory_Explain</t>
  </si>
  <si>
    <t>Q12a_C_Paperwork_Reduce</t>
  </si>
  <si>
    <t>Q12a_C_Paperwork_Cease</t>
  </si>
  <si>
    <t>Q12a_C_Paperwork_Explain</t>
  </si>
  <si>
    <t>Q12a_C_SlowPay_Reduce</t>
  </si>
  <si>
    <t>Q12a_C_SlowPay_Cease</t>
  </si>
  <si>
    <t>Q12a_C_SlowPay_Explain</t>
  </si>
  <si>
    <t>Q12a_C_SmallLot_Reduce</t>
  </si>
  <si>
    <t>Q12a_C_SmallLot_Cease</t>
  </si>
  <si>
    <t>Q12a_C_SmallLot_Explain</t>
  </si>
  <si>
    <t>Q12a_C_LowMargin_Reduce</t>
  </si>
  <si>
    <t>Q12a_C_LowMargin_Cease</t>
  </si>
  <si>
    <t>Q12a_C_LowMargin_Explain</t>
  </si>
  <si>
    <t>Q12a_C_Infreq_Reduce</t>
  </si>
  <si>
    <t>Q12a_C_Infreq_Cease</t>
  </si>
  <si>
    <t>Q12a_C_Infreq_Explain</t>
  </si>
  <si>
    <t>Q12a_C_IP_Reduce</t>
  </si>
  <si>
    <t>Q12a_C_IP_Cease</t>
  </si>
  <si>
    <t>Q12a_C_IP_Explain</t>
  </si>
  <si>
    <t>Q12a_C_OneOff_Reduce</t>
  </si>
  <si>
    <t>Q12a_C_OneOff_Cease</t>
  </si>
  <si>
    <t>Q12a_C_OneOff_Explain</t>
  </si>
  <si>
    <t>Q12a_C_Other_Specify</t>
  </si>
  <si>
    <t>Q12a_C_Other_Reduce</t>
  </si>
  <si>
    <t>Q12a_C_Other_Cease</t>
  </si>
  <si>
    <t>Q12a_C_Other_Explain</t>
  </si>
  <si>
    <t>Q12a_D_Direct_50884</t>
  </si>
  <si>
    <t>Q12a_D_Direct_6012</t>
  </si>
  <si>
    <t>Q12a_D_Direct_Explain</t>
  </si>
  <si>
    <t>Q12a_D_Recurring_50884</t>
  </si>
  <si>
    <t>Q12a_D_Recurring_6012</t>
  </si>
  <si>
    <t>Q12a_D_Recurring_Explain</t>
  </si>
  <si>
    <t>Q12a_D_Admin_50884</t>
  </si>
  <si>
    <t>Q12a_D_Admin_6012</t>
  </si>
  <si>
    <t>Q12a_D_Admin_Explain</t>
  </si>
  <si>
    <t>Q12a_Comment</t>
  </si>
  <si>
    <t>Q12b_A_DepComm_Extent</t>
  </si>
  <si>
    <t>Q12b_A_DepComm_Explain</t>
  </si>
  <si>
    <t>Q12b_A_DepUSG_Extent</t>
  </si>
  <si>
    <t>Q12b_A_ROI_Def</t>
  </si>
  <si>
    <t>Q12b_A_ROI_Comm</t>
  </si>
  <si>
    <t>Q12b_A_ROI_Explain</t>
  </si>
  <si>
    <t>Q12b_B_Consol_Level</t>
  </si>
  <si>
    <t>Q12b_B_Consol_Factor1</t>
  </si>
  <si>
    <t>Q12b_B_Consol_Factor2</t>
  </si>
  <si>
    <t>Q12b_B_Consol_Factor_Explain</t>
  </si>
  <si>
    <t>Q12b_B_Consol_Foreign</t>
  </si>
  <si>
    <t>Q12b_B_Consol_Foreign_Explain</t>
  </si>
  <si>
    <t>Q12b_C_FewerUS_YN</t>
  </si>
  <si>
    <t>Q12b_C_FewerUS_Explain</t>
  </si>
  <si>
    <t>Q12b_C_DependNonUS_YN</t>
  </si>
  <si>
    <t>Q12b_C_DependNonUS_Explain</t>
  </si>
  <si>
    <t>Q12b_C_MatCosts_YN</t>
  </si>
  <si>
    <t>Q12b_C_MatCosts_Explain</t>
  </si>
  <si>
    <t>Q12b_C_Pricing_YN</t>
  </si>
  <si>
    <t>Q12b_C_Pricing_Explain</t>
  </si>
  <si>
    <t>Q12b_C_SmallTrouble_YN</t>
  </si>
  <si>
    <t>Q12b_C_SmallTrouble_Explain</t>
  </si>
  <si>
    <t>Q12b_C_ReducedUS_YN</t>
  </si>
  <si>
    <t>Q12b_C_ReducedUS_Explain</t>
  </si>
  <si>
    <t>Q12b_C_Workforce_YN</t>
  </si>
  <si>
    <t>Q12b_C_Workforce_Explain</t>
  </si>
  <si>
    <t>Q12b_C_NonUSShare_YN</t>
  </si>
  <si>
    <t>Q12b_C_NonUSShare_Explain</t>
  </si>
  <si>
    <t>Q12b_C_Prices_YN</t>
  </si>
  <si>
    <t>Q12b_C_Prices_Explain</t>
  </si>
  <si>
    <t>Q12b_C_Other1_Specify</t>
  </si>
  <si>
    <t>Q12b_C_Other1_YN</t>
  </si>
  <si>
    <t>Q12b_C_Other1_Explain</t>
  </si>
  <si>
    <t>Q12b_C_Other2_Specify</t>
  </si>
  <si>
    <t>Q12b_C_Other2_YN</t>
  </si>
  <si>
    <t>Q12b_C_Other2_Explain</t>
  </si>
  <si>
    <t>Q12b_Comment</t>
  </si>
  <si>
    <t>Q12c_Funding_Impact</t>
  </si>
  <si>
    <t>Q12c_Funding_Explain</t>
  </si>
  <si>
    <t>Q12c_USMade_Impact</t>
  </si>
  <si>
    <t>Q12c_USMade_Explain</t>
  </si>
  <si>
    <t>Q12c_Stockpile_Impact</t>
  </si>
  <si>
    <t>Q12c_Stockpile_Explain</t>
  </si>
  <si>
    <t>Q12c_USMaterial_Impact</t>
  </si>
  <si>
    <t>Q12c_USMaterial_Explain</t>
  </si>
  <si>
    <t>Q12c_Trusted_Impact</t>
  </si>
  <si>
    <t>Q12c_Trusted_Explain</t>
  </si>
  <si>
    <t>Q12c_QMLQPL_Impact</t>
  </si>
  <si>
    <t>Q12c_QMLQPL_Explain</t>
  </si>
  <si>
    <t>Q12c_Other1_Specify</t>
  </si>
  <si>
    <t>Q12c_Other1_Impact</t>
  </si>
  <si>
    <t>Q12c_Other1_Explain</t>
  </si>
  <si>
    <t>Q12c_Other2_Specify</t>
  </si>
  <si>
    <t>Q12c_Other2_Impact</t>
  </si>
  <si>
    <t>Q12c_Other2_Explain</t>
  </si>
  <si>
    <t>Q12c_Comment</t>
  </si>
  <si>
    <t>Q13a_A_Connect_YN</t>
  </si>
  <si>
    <t>Q13a_B_InternalIT</t>
  </si>
  <si>
    <t>Q13a_B_ExternalIT</t>
  </si>
  <si>
    <t>Q13a_C_Client_YN</t>
  </si>
  <si>
    <t>Q13a_C_Client_Explain</t>
  </si>
  <si>
    <t>Q13a_C_Financial_YN</t>
  </si>
  <si>
    <t>Q13a_C_Financial_Explain</t>
  </si>
  <si>
    <t>Q13a_C_HR_YN</t>
  </si>
  <si>
    <t>Q13a_C_HR_Explain</t>
  </si>
  <si>
    <t>Q13a_C_ExportControl_YN</t>
  </si>
  <si>
    <t>Q13a_C_ExportControl_Explain</t>
  </si>
  <si>
    <t>Q13a_C_IP_YN</t>
  </si>
  <si>
    <t>Q13a_C_IP_Explain</t>
  </si>
  <si>
    <t>Q13a_C_Internal_YN</t>
  </si>
  <si>
    <t>Q13a_C_Internal_Explain</t>
  </si>
  <si>
    <t>Q13a_C_Production_YN</t>
  </si>
  <si>
    <t>Q13a_C_Production_Explain</t>
  </si>
  <si>
    <t>Q13a_C_Patent_YN</t>
  </si>
  <si>
    <t>Q13a_C_Patent_Explain</t>
  </si>
  <si>
    <t>Q13a_C_Regulatory_YN</t>
  </si>
  <si>
    <t>Q13a_C_Regulatory_Explain</t>
  </si>
  <si>
    <t>Q13a_C_RD_YN</t>
  </si>
  <si>
    <t>Q13a_C_RD_Explain</t>
  </si>
  <si>
    <t>Q13a_C_Sourcing_YN</t>
  </si>
  <si>
    <t>Q13a_C_Sourcing_Explain</t>
  </si>
  <si>
    <t>Q13a_Comment</t>
  </si>
  <si>
    <t>Q13b_A_IncreaseBudget_YN</t>
  </si>
  <si>
    <t>Q13b_B_Cloud_Pct</t>
  </si>
  <si>
    <t>Q13b_B_External_Pct</t>
  </si>
  <si>
    <t>Q13b_B_ProhibitNonUS</t>
  </si>
  <si>
    <t>Q13b_C_Idle_Impact</t>
  </si>
  <si>
    <t>Q13b_C_Idle_Explain</t>
  </si>
  <si>
    <t>Q13b_C_Disrupt_Impact</t>
  </si>
  <si>
    <t>Q13b_C_Disrupt_Explain</t>
  </si>
  <si>
    <t>Q13b_C_ITDamage_Impact</t>
  </si>
  <si>
    <t>Q13b_C_ITDamage_Explain</t>
  </si>
  <si>
    <t>Q13b_C_Cost_Impact</t>
  </si>
  <si>
    <t>Q13b_C_Cost_Explain</t>
  </si>
  <si>
    <t>Q13b_C_Business_Impact</t>
  </si>
  <si>
    <t>Q13b_C_Business_Explain</t>
  </si>
  <si>
    <t>Q13b_C_Exfiltr_Impact</t>
  </si>
  <si>
    <t>Q13b_C_Exfiltr_Explain</t>
  </si>
  <si>
    <t>Q13b_C_Personnel_Impact</t>
  </si>
  <si>
    <t>Q13b_C_Personnel_Explain</t>
  </si>
  <si>
    <t>Q13b_C_SoftwareDamage_Impact</t>
  </si>
  <si>
    <t>Q13b_C_SoftwareDamage_Explain</t>
  </si>
  <si>
    <t>Q13b_C_SoftwareTheft_Impact</t>
  </si>
  <si>
    <t>Q13b_C_SoftwareTheft_Explain</t>
  </si>
  <si>
    <t>Q13b_C_SystemDamage_Impact</t>
  </si>
  <si>
    <t>Q13b_C_SystemDamage_Explain</t>
  </si>
  <si>
    <t>Q13b_C_InfoDestroy_Impact</t>
  </si>
  <si>
    <t>Q13b_C_InfoDestroy_Explain</t>
  </si>
  <si>
    <t>Q13b_C_Reputation_Impact</t>
  </si>
  <si>
    <t>Q13b_C_Reputation_Explain</t>
  </si>
  <si>
    <t>Q13b_C_Other1_Specify</t>
  </si>
  <si>
    <t>Q13b_C_Other1_Impact</t>
  </si>
  <si>
    <t>Q13b_C_Other1_Explain</t>
  </si>
  <si>
    <t>Q13b_C_Other2_Specify</t>
  </si>
  <si>
    <t>Q13b_C_Other2_Impact</t>
  </si>
  <si>
    <t>Q13b_C_Other2_Explain</t>
  </si>
  <si>
    <t>Q13b_C_Other3_Specify</t>
  </si>
  <si>
    <t>Q13b_C_Other3_Impact</t>
  </si>
  <si>
    <t>Q13b_C_Other3_Explain</t>
  </si>
  <si>
    <t>Q13b_Comment</t>
  </si>
  <si>
    <t>Issue Number</t>
  </si>
  <si>
    <t>Issue Type</t>
  </si>
  <si>
    <t>Rank</t>
  </si>
  <si>
    <t>Q14_B_LeanMfg</t>
  </si>
  <si>
    <t>Q14_B_MarketExpansion</t>
  </si>
  <si>
    <t>Q14_B_Cyber</t>
  </si>
  <si>
    <t>Q14_B_ProdDesign</t>
  </si>
  <si>
    <t>Q14_B_DesignforAssembly</t>
  </si>
  <si>
    <t>Q14_B_Prototyping</t>
  </si>
  <si>
    <t>Q14_B_DesignMfg</t>
  </si>
  <si>
    <t>Q14_B_QualityControl</t>
  </si>
  <si>
    <t>Q14_B_Energy</t>
  </si>
  <si>
    <t>Q14_B_SBIR</t>
  </si>
  <si>
    <t>Q14_B_ExportAssist</t>
  </si>
  <si>
    <t>Q14_B_SupplyChain</t>
  </si>
  <si>
    <t>Q14_B_ExportLicense</t>
  </si>
  <si>
    <t>Q14_B_TechAccel</t>
  </si>
  <si>
    <t>Q14_B_GovtProcurement</t>
  </si>
  <si>
    <t>Q14_B_MatSourcing</t>
  </si>
  <si>
    <t>Q14_B_Other1_Specify</t>
  </si>
  <si>
    <t>Q14_B_Other1</t>
  </si>
  <si>
    <t>Q14_B_Other2_Specify</t>
  </si>
  <si>
    <t>Q14_B_Other2</t>
  </si>
  <si>
    <t>Q14_Comment</t>
  </si>
  <si>
    <t>Q15_FacilityName</t>
  </si>
  <si>
    <t>Q15_OrgName</t>
  </si>
  <si>
    <t>Q15_OrgWebsite</t>
  </si>
  <si>
    <t>Q15_AuthName</t>
  </si>
  <si>
    <t>Q15_AuthTitle</t>
  </si>
  <si>
    <t>Q15_AuthEmail</t>
  </si>
  <si>
    <t>Q15_AuthPhone</t>
  </si>
  <si>
    <t>Q15_DateCert</t>
  </si>
  <si>
    <t>Q15_Comment</t>
  </si>
  <si>
    <t>Q15_Hours</t>
  </si>
  <si>
    <t>Estimated Completion</t>
  </si>
  <si>
    <t>OrgID</t>
  </si>
  <si>
    <t>OrgName</t>
  </si>
  <si>
    <t>OrgType</t>
  </si>
  <si>
    <t>Commercial Sales %</t>
  </si>
  <si>
    <t>Defense Sales %</t>
  </si>
  <si>
    <t>Number of USG Programs</t>
  </si>
  <si>
    <t>Dependent on USG?</t>
  </si>
  <si>
    <t>Number of Board Types Capable of Making</t>
  </si>
  <si>
    <t>Average Weekly Layers 2015</t>
  </si>
  <si>
    <t>Average Weekly Panels 2015</t>
  </si>
  <si>
    <t>Average Revenue</t>
  </si>
  <si>
    <t>Size</t>
  </si>
  <si>
    <t>Financial Risk Rating</t>
  </si>
  <si>
    <t>Financial Risk Score, 2015</t>
  </si>
  <si>
    <t>Financial Risk Score, Total</t>
  </si>
  <si>
    <t>Significant Change At Facility</t>
  </si>
  <si>
    <t xml:space="preserve">The U.S. Department of Commerce, Bureau of Industry and Security (BIS), Office of Technology Evaluation, in coordination with the United States Navy, Naval Surface Warfare Center, Crane Division (NSWC Crane) is conducting an assessment of the U.S. industrial base for manufacturing bare printed circuit board products.  The primary goal of this study is to assist the US defense community in understanding the health and competitiveness of organizations manufacturing bare printed circuit boards for commercial and U.S. Government applications at facilities located in the United States.
The Secretary of the Navy is the DOD Defense Executive Agent for printed circuit board technology.  NSWC Crane is the DOD Executive Agent technical lead for printed circuit board and interconnect technology.  NSWC Crane provides acquisition engineering, in-service engineering, and technical support for sensors, electornics, electronic warfare, and special warfare weapons. </t>
  </si>
  <si>
    <t>Low/Neutral Risk: &lt;= 30</t>
  </si>
  <si>
    <t>Moderate/Elevated Risk: &lt;= 60</t>
  </si>
  <si>
    <t>High/Severe Risk: &gt;60</t>
  </si>
  <si>
    <t>Estimate the percentage of this facility's bare printed circuit board sales attributable to COMMERCIAL end uses:</t>
  </si>
  <si>
    <t>Estimate the percentage of this facility's bare printed circuit board sales attributable to DEFENSE end uses:</t>
  </si>
  <si>
    <r>
      <t xml:space="preserve">Estimate how many weeks it would take to raise this facility's production from current levels to 100% capacity utilization:
</t>
    </r>
    <r>
      <rPr>
        <sz val="8"/>
        <color indexed="8"/>
        <rFont val="Arial"/>
        <family val="2"/>
      </rPr>
      <t>If this facility already operates at 100% capacity utilization, respond with a "0".</t>
    </r>
  </si>
  <si>
    <t>Identify which of the factors below would limit this facility's ability to raise its bare circuit board manufacturing utilization rate to 100% (maximum current capacity) and to 150% (50% increase from current maximum capacity) to meet a surge in demand.</t>
  </si>
  <si>
    <t>What percentage of this facility's technical staff do you expect to retire within the next five years?</t>
  </si>
  <si>
    <t>Note: Double counting is permitted for this section.  For example, if an employee serves as both a mechanical drilling tech and a laser drilling tech, she would be included in both lines.</t>
  </si>
  <si>
    <t>First, estimate the total number of employees you have with each level of work experience and estimate the percentage that are U.S. citizens.
Then, for each technical role, estimate the number of employees you have with each level of work experience.</t>
  </si>
  <si>
    <t>What is the primary, if any, significant change in operations that is expected at this facility in the next five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</si>
</sst>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76" formatCode="&quot;$&quot;#,##0"/>
  </numFmts>
  <fonts count="39">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b/>
      <sz val="10"/>
      <color indexed="9"/>
      <name val="Arial"/>
      <family val="2"/>
    </font>
    <font>
      <b/>
      <sz val="10"/>
      <color indexed="9"/>
      <name val="Arial"/>
      <family val="2"/>
    </font>
    <font>
      <b/>
      <sz val="10"/>
      <name val="Airal"/>
    </font>
    <font>
      <sz val="10"/>
      <name val="Arial"/>
      <family val="2"/>
    </font>
    <font>
      <u/>
      <sz val="10"/>
      <color indexed="12"/>
      <name val="Arial"/>
      <family val="2"/>
    </font>
    <font>
      <sz val="8"/>
      <name val="Arial"/>
      <family val="2"/>
    </font>
    <font>
      <u/>
      <sz val="10"/>
      <color indexed="12"/>
      <name val="Arial"/>
      <family val="2"/>
    </font>
    <font>
      <sz val="10"/>
      <color indexed="8"/>
      <name val="Arial"/>
      <family val="2"/>
    </font>
    <font>
      <b/>
      <sz val="10"/>
      <color indexed="8"/>
      <name val="Arial"/>
      <family val="2"/>
    </font>
    <font>
      <u/>
      <sz val="10"/>
      <color indexed="12"/>
      <name val="Arial"/>
      <family val="2"/>
    </font>
    <font>
      <sz val="10"/>
      <color indexed="8"/>
      <name val="Arial"/>
      <family val="2"/>
    </font>
    <font>
      <u/>
      <sz val="10"/>
      <color indexed="12"/>
      <name val="Arial"/>
      <family val="2"/>
    </font>
    <font>
      <i/>
      <sz val="8"/>
      <name val="Arial"/>
      <family val="2"/>
    </font>
    <font>
      <sz val="8"/>
      <color indexed="8"/>
      <name val="Arial"/>
      <family val="2"/>
    </font>
    <font>
      <sz val="11"/>
      <color theme="1"/>
      <name val="Calibri"/>
      <family val="2"/>
      <scheme val="minor"/>
    </font>
    <font>
      <sz val="10"/>
      <color theme="1"/>
      <name val="Arial"/>
      <family val="2"/>
    </font>
    <font>
      <b/>
      <sz val="11"/>
      <color theme="1"/>
      <name val="Calibri"/>
      <family val="2"/>
      <scheme val="minor"/>
    </font>
    <font>
      <sz val="11"/>
      <color rgb="FFFF0000"/>
      <name val="Calibri"/>
      <family val="2"/>
      <scheme val="minor"/>
    </font>
    <font>
      <sz val="11"/>
      <color theme="1"/>
      <name val="Arial"/>
      <family val="2"/>
    </font>
    <font>
      <sz val="10"/>
      <color theme="0"/>
      <name val="Arial"/>
      <family val="2"/>
    </font>
    <font>
      <sz val="12"/>
      <name val="Calibri"/>
      <family val="2"/>
      <scheme val="minor"/>
    </font>
    <font>
      <sz val="10"/>
      <color theme="1"/>
      <name val="Calibri"/>
      <family val="2"/>
      <scheme val="minor"/>
    </font>
    <font>
      <b/>
      <sz val="10"/>
      <color rgb="FFFF0000"/>
      <name val="Arial"/>
      <family val="2"/>
    </font>
    <font>
      <b/>
      <sz val="10"/>
      <name val="Calibri"/>
      <family val="2"/>
      <scheme val="minor"/>
    </font>
    <font>
      <sz val="10"/>
      <color rgb="FF0000FF"/>
      <name val="Calibri"/>
      <family val="2"/>
      <scheme val="minor"/>
    </font>
    <font>
      <u/>
      <sz val="10"/>
      <color rgb="FF0000FF"/>
      <name val="Arial"/>
      <family val="2"/>
    </font>
    <font>
      <b/>
      <sz val="10"/>
      <color theme="1"/>
      <name val="Arial"/>
      <family val="2"/>
    </font>
    <font>
      <sz val="10"/>
      <color rgb="FF0000FF"/>
      <name val="Arial"/>
      <family val="2"/>
    </font>
    <font>
      <sz val="10"/>
      <name val="Calibri"/>
      <family val="2"/>
      <scheme val="minor"/>
    </font>
    <font>
      <sz val="8"/>
      <color theme="1"/>
      <name val="Arial"/>
      <family val="2"/>
    </font>
    <font>
      <b/>
      <sz val="12"/>
      <color theme="0"/>
      <name val="Arial"/>
      <family val="2"/>
    </font>
    <font>
      <b/>
      <sz val="10"/>
      <color theme="0"/>
      <name val="Arial"/>
      <family val="2"/>
    </font>
    <font>
      <b/>
      <sz val="10"/>
      <color rgb="FFFFFFFF"/>
      <name val="Arial"/>
      <family val="2"/>
    </font>
    <font>
      <sz val="10"/>
      <color rgb="FFFFFFFF"/>
      <name val="Arial"/>
      <family val="2"/>
    </font>
  </fonts>
  <fills count="21">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rgb="FFD9D9D9"/>
        <bgColor indexed="64"/>
      </patternFill>
    </fill>
    <fill>
      <patternFill patternType="solid">
        <fgColor theme="0" tint="-0.14999847407452621"/>
        <bgColor rgb="FF000000"/>
      </patternFill>
    </fill>
    <fill>
      <patternFill patternType="solid">
        <fgColor rgb="FFD9D9D9"/>
        <bgColor rgb="FF000000"/>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00DE00"/>
        <bgColor indexed="64"/>
      </patternFill>
    </fill>
    <fill>
      <patternFill patternType="solid">
        <fgColor theme="6"/>
        <bgColor indexed="64"/>
      </patternFill>
    </fill>
    <fill>
      <patternFill patternType="solid">
        <fgColor theme="4"/>
        <bgColor indexed="64"/>
      </patternFill>
    </fill>
    <fill>
      <patternFill patternType="solid">
        <fgColor theme="1"/>
        <bgColor indexed="64"/>
      </patternFill>
    </fill>
    <fill>
      <patternFill patternType="solid">
        <fgColor rgb="FF000000"/>
        <bgColor rgb="FF000000"/>
      </patternFill>
    </fill>
    <fill>
      <patternFill patternType="solid">
        <fgColor theme="0"/>
        <bgColor rgb="FF000000"/>
      </patternFill>
    </fill>
  </fills>
  <borders count="29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55"/>
      </right>
      <top style="thin">
        <color indexed="55"/>
      </top>
      <bottom style="thin">
        <color indexed="55"/>
      </bottom>
      <diagonal/>
    </border>
    <border>
      <left style="medium">
        <color indexed="64"/>
      </left>
      <right/>
      <top style="thin">
        <color indexed="55"/>
      </top>
      <bottom style="thin">
        <color indexed="55"/>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medium">
        <color indexed="64"/>
      </bottom>
      <diagonal/>
    </border>
    <border>
      <left style="thin">
        <color indexed="55"/>
      </left>
      <right style="thin">
        <color indexed="55"/>
      </right>
      <top style="thin">
        <color indexed="55"/>
      </top>
      <bottom style="thin">
        <color indexed="64"/>
      </bottom>
      <diagonal/>
    </border>
    <border>
      <left style="thin">
        <color indexed="55"/>
      </left>
      <right style="medium">
        <color indexed="64"/>
      </right>
      <top style="thin">
        <color indexed="55"/>
      </top>
      <bottom/>
      <diagonal/>
    </border>
    <border>
      <left style="thin">
        <color indexed="55"/>
      </left>
      <right style="thin">
        <color indexed="64"/>
      </right>
      <top style="thin">
        <color indexed="55"/>
      </top>
      <bottom style="thin">
        <color indexed="55"/>
      </bottom>
      <diagonal/>
    </border>
    <border>
      <left style="thin">
        <color indexed="55"/>
      </left>
      <right/>
      <top style="thin">
        <color indexed="55"/>
      </top>
      <bottom style="thin">
        <color indexed="55"/>
      </bottom>
      <diagonal/>
    </border>
    <border>
      <left style="medium">
        <color indexed="64"/>
      </left>
      <right/>
      <top style="thin">
        <color indexed="55"/>
      </top>
      <bottom style="medium">
        <color indexed="64"/>
      </bottom>
      <diagonal/>
    </border>
    <border>
      <left/>
      <right/>
      <top style="thin">
        <color indexed="55"/>
      </top>
      <bottom style="medium">
        <color indexed="64"/>
      </bottom>
      <diagonal/>
    </border>
    <border>
      <left/>
      <right/>
      <top style="thin">
        <color indexed="64"/>
      </top>
      <bottom style="thin">
        <color indexed="64"/>
      </bottom>
      <diagonal/>
    </border>
    <border>
      <left style="medium">
        <color indexed="64"/>
      </left>
      <right/>
      <top/>
      <bottom style="thin">
        <color indexed="55"/>
      </bottom>
      <diagonal/>
    </border>
    <border>
      <left/>
      <right/>
      <top/>
      <bottom style="thin">
        <color indexed="55"/>
      </bottom>
      <diagonal/>
    </border>
    <border>
      <left style="medium">
        <color indexed="64"/>
      </left>
      <right style="thin">
        <color indexed="55"/>
      </right>
      <top/>
      <bottom/>
      <diagonal/>
    </border>
    <border>
      <left style="thin">
        <color indexed="55"/>
      </left>
      <right style="medium">
        <color indexed="64"/>
      </right>
      <top/>
      <bottom/>
      <diagonal/>
    </border>
    <border>
      <left style="medium">
        <color indexed="64"/>
      </left>
      <right style="thin">
        <color indexed="55"/>
      </right>
      <top style="thin">
        <color indexed="64"/>
      </top>
      <bottom style="thin">
        <color indexed="64"/>
      </bottom>
      <diagonal/>
    </border>
    <border>
      <left style="thin">
        <color indexed="55"/>
      </left>
      <right/>
      <top/>
      <bottom style="thin">
        <color indexed="55"/>
      </bottom>
      <diagonal/>
    </border>
    <border>
      <left style="thin">
        <color indexed="55"/>
      </left>
      <right/>
      <top style="medium">
        <color indexed="64"/>
      </top>
      <bottom/>
      <diagonal/>
    </border>
    <border>
      <left/>
      <right style="thin">
        <color indexed="55"/>
      </right>
      <top style="medium">
        <color indexed="64"/>
      </top>
      <bottom/>
      <diagonal/>
    </border>
    <border>
      <left/>
      <right style="thin">
        <color indexed="55"/>
      </right>
      <top/>
      <bottom style="thin">
        <color indexed="55"/>
      </bottom>
      <diagonal/>
    </border>
    <border>
      <left style="thin">
        <color indexed="55"/>
      </left>
      <right/>
      <top style="thin">
        <color indexed="55"/>
      </top>
      <bottom/>
      <diagonal/>
    </border>
    <border>
      <left style="medium">
        <color indexed="64"/>
      </left>
      <right/>
      <top style="thin">
        <color indexed="55"/>
      </top>
      <bottom/>
      <diagonal/>
    </border>
    <border>
      <left/>
      <right style="medium">
        <color indexed="64"/>
      </right>
      <top style="thin">
        <color indexed="55"/>
      </top>
      <bottom style="thin">
        <color indexed="64"/>
      </bottom>
      <diagonal/>
    </border>
    <border>
      <left style="thin">
        <color indexed="55"/>
      </left>
      <right style="thin">
        <color indexed="55"/>
      </right>
      <top style="thin">
        <color indexed="55"/>
      </top>
      <bottom style="medium">
        <color indexed="64"/>
      </bottom>
      <diagonal/>
    </border>
    <border>
      <left style="medium">
        <color indexed="64"/>
      </left>
      <right style="thin">
        <color indexed="55"/>
      </right>
      <top style="medium">
        <color indexed="64"/>
      </top>
      <bottom style="thin">
        <color indexed="55"/>
      </bottom>
      <diagonal/>
    </border>
    <border>
      <left style="medium">
        <color indexed="64"/>
      </left>
      <right style="thin">
        <color indexed="55"/>
      </right>
      <top style="thin">
        <color indexed="55"/>
      </top>
      <bottom style="medium">
        <color indexed="64"/>
      </bottom>
      <diagonal/>
    </border>
    <border>
      <left style="medium">
        <color indexed="64"/>
      </left>
      <right style="thin">
        <color indexed="55"/>
      </right>
      <top/>
      <bottom style="thin">
        <color indexed="55"/>
      </bottom>
      <diagonal/>
    </border>
    <border>
      <left style="medium">
        <color indexed="64"/>
      </left>
      <right style="thin">
        <color indexed="55"/>
      </right>
      <top style="thin">
        <color indexed="55"/>
      </top>
      <bottom/>
      <diagonal/>
    </border>
    <border>
      <left style="medium">
        <color indexed="64"/>
      </left>
      <right style="thin">
        <color indexed="55"/>
      </right>
      <top/>
      <bottom style="medium">
        <color indexed="64"/>
      </bottom>
      <diagonal/>
    </border>
    <border>
      <left style="thin">
        <color indexed="55"/>
      </left>
      <right/>
      <top style="thin">
        <color indexed="55"/>
      </top>
      <bottom style="thin">
        <color indexed="64"/>
      </bottom>
      <diagonal/>
    </border>
    <border>
      <left/>
      <right/>
      <top style="thin">
        <color indexed="64"/>
      </top>
      <bottom style="medium">
        <color indexed="64"/>
      </bottom>
      <diagonal/>
    </border>
    <border>
      <left style="thin">
        <color indexed="55"/>
      </left>
      <right style="thin">
        <color indexed="55"/>
      </right>
      <top/>
      <bottom style="thin">
        <color indexed="55"/>
      </bottom>
      <diagonal/>
    </border>
    <border>
      <left style="thin">
        <color indexed="55"/>
      </left>
      <right style="thin">
        <color indexed="55"/>
      </right>
      <top style="medium">
        <color indexed="64"/>
      </top>
      <bottom style="medium">
        <color indexed="64"/>
      </bottom>
      <diagonal/>
    </border>
    <border>
      <left style="thin">
        <color indexed="55"/>
      </left>
      <right/>
      <top/>
      <bottom style="medium">
        <color indexed="64"/>
      </bottom>
      <diagonal/>
    </border>
    <border>
      <left style="thin">
        <color indexed="55"/>
      </left>
      <right style="thin">
        <color indexed="55"/>
      </right>
      <top style="thin">
        <color indexed="55"/>
      </top>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thin">
        <color indexed="64"/>
      </bottom>
      <diagonal/>
    </border>
    <border>
      <left style="thin">
        <color indexed="55"/>
      </left>
      <right/>
      <top style="medium">
        <color indexed="64"/>
      </top>
      <bottom style="thin">
        <color indexed="64"/>
      </bottom>
      <diagonal/>
    </border>
    <border>
      <left style="thin">
        <color indexed="55"/>
      </left>
      <right style="medium">
        <color indexed="64"/>
      </right>
      <top style="medium">
        <color indexed="64"/>
      </top>
      <bottom style="thin">
        <color indexed="64"/>
      </bottom>
      <diagonal/>
    </border>
    <border>
      <left/>
      <right style="thin">
        <color indexed="55"/>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55"/>
      </left>
      <right style="thin">
        <color indexed="64"/>
      </right>
      <top style="thin">
        <color indexed="55"/>
      </top>
      <bottom/>
      <diagonal/>
    </border>
    <border>
      <left/>
      <right style="medium">
        <color indexed="64"/>
      </right>
      <top style="medium">
        <color indexed="64"/>
      </top>
      <bottom style="thin">
        <color indexed="55"/>
      </bottom>
      <diagonal/>
    </border>
    <border>
      <left/>
      <right style="thin">
        <color indexed="55"/>
      </right>
      <top style="thin">
        <color indexed="55"/>
      </top>
      <bottom/>
      <diagonal/>
    </border>
    <border>
      <left/>
      <right style="medium">
        <color indexed="64"/>
      </right>
      <top style="thin">
        <color indexed="55"/>
      </top>
      <bottom style="medium">
        <color indexed="64"/>
      </bottom>
      <diagonal/>
    </border>
    <border>
      <left/>
      <right/>
      <top style="thin">
        <color indexed="55"/>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55"/>
      </left>
      <right/>
      <top style="medium">
        <color indexed="64"/>
      </top>
      <bottom style="thin">
        <color indexed="55"/>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bottom style="medium">
        <color indexed="64"/>
      </bottom>
      <diagonal/>
    </border>
    <border>
      <left/>
      <right/>
      <top style="thin">
        <color indexed="55"/>
      </top>
      <bottom style="thin">
        <color indexed="64"/>
      </bottom>
      <diagonal/>
    </border>
    <border>
      <left/>
      <right/>
      <top style="medium">
        <color indexed="64"/>
      </top>
      <bottom style="thin">
        <color indexed="55"/>
      </bottom>
      <diagonal/>
    </border>
    <border>
      <left/>
      <right style="thin">
        <color indexed="64"/>
      </right>
      <top style="thin">
        <color indexed="55"/>
      </top>
      <bottom style="thin">
        <color indexed="55"/>
      </bottom>
      <diagonal/>
    </border>
    <border>
      <left style="thin">
        <color indexed="55"/>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55"/>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55"/>
      </bottom>
      <diagonal/>
    </border>
    <border>
      <left/>
      <right/>
      <top style="thin">
        <color indexed="64"/>
      </top>
      <bottom style="medium">
        <color indexed="55"/>
      </bottom>
      <diagonal/>
    </border>
    <border>
      <left/>
      <right style="medium">
        <color indexed="64"/>
      </right>
      <top style="thin">
        <color indexed="64"/>
      </top>
      <bottom style="medium">
        <color indexed="55"/>
      </bottom>
      <diagonal/>
    </border>
    <border>
      <left style="medium">
        <color indexed="64"/>
      </left>
      <right/>
      <top style="medium">
        <color indexed="55"/>
      </top>
      <bottom style="thin">
        <color indexed="64"/>
      </bottom>
      <diagonal/>
    </border>
    <border>
      <left/>
      <right/>
      <top style="medium">
        <color indexed="55"/>
      </top>
      <bottom style="thin">
        <color indexed="64"/>
      </bottom>
      <diagonal/>
    </border>
    <border>
      <left/>
      <right style="medium">
        <color indexed="64"/>
      </right>
      <top style="medium">
        <color indexed="55"/>
      </top>
      <bottom style="thin">
        <color indexed="64"/>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thin">
        <color indexed="55"/>
      </left>
      <right style="medium">
        <color indexed="64"/>
      </right>
      <top/>
      <bottom style="thin">
        <color indexed="55"/>
      </bottom>
      <diagonal/>
    </border>
    <border>
      <left style="medium">
        <color indexed="64"/>
      </left>
      <right style="thin">
        <color indexed="55"/>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55"/>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55"/>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55"/>
      </bottom>
      <diagonal/>
    </border>
    <border>
      <left style="thin">
        <color indexed="55"/>
      </left>
      <right style="thin">
        <color indexed="55"/>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55"/>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55"/>
      </left>
      <right style="thin">
        <color indexed="55"/>
      </right>
      <top style="medium">
        <color indexed="64"/>
      </top>
      <bottom/>
      <diagonal/>
    </border>
    <border>
      <left style="thin">
        <color indexed="55"/>
      </left>
      <right style="medium">
        <color indexed="64"/>
      </right>
      <top style="medium">
        <color indexed="64"/>
      </top>
      <bottom/>
      <diagonal/>
    </border>
    <border>
      <left/>
      <right style="thin">
        <color indexed="55"/>
      </right>
      <top style="medium">
        <color indexed="64"/>
      </top>
      <bottom style="medium">
        <color indexed="64"/>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indexed="55"/>
      </right>
      <top style="thin">
        <color indexed="55"/>
      </top>
      <bottom style="thin">
        <color indexed="64"/>
      </bottom>
      <diagonal/>
    </border>
    <border>
      <left style="thin">
        <color theme="0" tint="-0.34998626667073579"/>
      </left>
      <right style="thin">
        <color indexed="64"/>
      </right>
      <top style="thin">
        <color indexed="55"/>
      </top>
      <bottom style="thin">
        <color indexed="55"/>
      </bottom>
      <diagonal/>
    </border>
    <border>
      <left style="medium">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style="medium">
        <color indexed="64"/>
      </left>
      <right/>
      <top style="thin">
        <color theme="0" tint="-0.34998626667073579"/>
      </top>
      <bottom/>
      <diagonal/>
    </border>
    <border>
      <left style="thin">
        <color theme="0" tint="-0.34998626667073579"/>
      </left>
      <right style="medium">
        <color indexed="64"/>
      </right>
      <top style="thin">
        <color indexed="55"/>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55"/>
      </right>
      <top style="thin">
        <color indexed="55"/>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bottom style="thin">
        <color indexed="55"/>
      </bottom>
      <diagonal/>
    </border>
    <border>
      <left style="medium">
        <color indexed="64"/>
      </left>
      <right style="thin">
        <color theme="0" tint="-0.34998626667073579"/>
      </right>
      <top style="thin">
        <color indexed="55"/>
      </top>
      <bottom/>
      <diagonal/>
    </border>
    <border>
      <left style="medium">
        <color indexed="64"/>
      </left>
      <right style="thin">
        <color theme="0" tint="-0.34998626667073579"/>
      </right>
      <top style="thin">
        <color theme="0" tint="-0.34998626667073579"/>
      </top>
      <bottom style="thin">
        <color indexed="55"/>
      </bottom>
      <diagonal/>
    </border>
    <border>
      <left style="medium">
        <color indexed="64"/>
      </left>
      <right style="thin">
        <color theme="0" tint="-0.34998626667073579"/>
      </right>
      <top/>
      <bottom style="medium">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right/>
      <top style="thin">
        <color theme="0" tint="-0.34998626667073579"/>
      </top>
      <bottom style="thin">
        <color indexed="55"/>
      </bottom>
      <diagonal/>
    </border>
    <border>
      <left/>
      <right style="medium">
        <color indexed="64"/>
      </right>
      <top style="thin">
        <color theme="0" tint="-0.34998626667073579"/>
      </top>
      <bottom style="thin">
        <color indexed="55"/>
      </bottom>
      <diagonal/>
    </border>
    <border>
      <left style="thin">
        <color theme="0" tint="-0.34998626667073579"/>
      </left>
      <right style="thin">
        <color theme="0" tint="-0.34998626667073579"/>
      </right>
      <top style="thin">
        <color theme="0" tint="-0.34998626667073579"/>
      </top>
      <bottom/>
      <diagonal/>
    </border>
    <border>
      <left style="thin">
        <color indexed="55"/>
      </left>
      <right/>
      <top style="thin">
        <color theme="0" tint="-0.34998626667073579"/>
      </top>
      <bottom/>
      <diagonal/>
    </border>
    <border>
      <left style="thin">
        <color indexed="64"/>
      </left>
      <right/>
      <top style="thin">
        <color theme="0" tint="-0.34998626667073579"/>
      </top>
      <bottom style="thin">
        <color indexed="55"/>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bottom/>
      <diagonal/>
    </border>
    <border>
      <left/>
      <right style="medium">
        <color indexed="64"/>
      </right>
      <top style="medium">
        <color indexed="64"/>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thin">
        <color theme="0" tint="-0.34998626667073579"/>
      </left>
      <right/>
      <top/>
      <bottom style="thin">
        <color indexed="64"/>
      </bottom>
      <diagonal/>
    </border>
    <border>
      <left style="thin">
        <color theme="0" tint="-0.34998626667073579"/>
      </left>
      <right style="medium">
        <color indexed="64"/>
      </right>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indexed="55"/>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medium">
        <color indexed="64"/>
      </right>
      <top style="thin">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indexed="64"/>
      </right>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bottom style="thin">
        <color indexed="64"/>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249977111117893"/>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theme="0" tint="-0.34998626667073579"/>
      </left>
      <right/>
      <top/>
      <bottom style="medium">
        <color indexed="64"/>
      </bottom>
      <diagonal/>
    </border>
    <border>
      <left/>
      <right style="thin">
        <color theme="0" tint="-0.34998626667073579"/>
      </right>
      <top/>
      <bottom/>
      <diagonal/>
    </border>
    <border>
      <left style="thin">
        <color indexed="64"/>
      </left>
      <right style="thin">
        <color indexed="64"/>
      </right>
      <top style="thin">
        <color theme="0" tint="-0.34998626667073579"/>
      </top>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thin">
        <color theme="0" tint="-0.34998626667073579"/>
      </right>
      <top style="medium">
        <color indexed="64"/>
      </top>
      <bottom style="thin">
        <color indexed="64"/>
      </bottom>
      <diagonal/>
    </border>
    <border>
      <left style="thin">
        <color theme="0" tint="-0.34998626667073579"/>
      </left>
      <right/>
      <top style="medium">
        <color indexed="64"/>
      </top>
      <bottom/>
      <diagonal/>
    </border>
    <border>
      <left style="medium">
        <color indexed="64"/>
      </left>
      <right/>
      <top style="thin">
        <color indexed="55"/>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right/>
      <top style="thin">
        <color theme="0" tint="-0.34998626667073579"/>
      </top>
      <bottom style="thin">
        <color indexed="64"/>
      </bottom>
      <diagonal/>
    </border>
    <border>
      <left/>
      <right/>
      <top style="medium">
        <color indexed="64"/>
      </top>
      <bottom style="thin">
        <color theme="0" tint="-0.34998626667073579"/>
      </bottom>
      <diagonal/>
    </border>
    <border>
      <left style="thin">
        <color indexed="55"/>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theme="0" tint="-0.34998626667073579"/>
      </right>
      <top style="thin">
        <color theme="0" tint="-0.34998626667073579"/>
      </top>
      <bottom style="medium">
        <color indexed="64"/>
      </bottom>
      <diagonal/>
    </border>
    <border>
      <left style="thin">
        <color indexed="55"/>
      </left>
      <right style="thin">
        <color theme="0" tint="-0.34998626667073579"/>
      </right>
      <top style="thin">
        <color indexed="55"/>
      </top>
      <bottom/>
      <diagonal/>
    </border>
    <border>
      <left style="thin">
        <color indexed="55"/>
      </left>
      <right style="thin">
        <color indexed="55"/>
      </right>
      <top style="thin">
        <color theme="0" tint="-0.34998626667073579"/>
      </top>
      <bottom/>
      <diagonal/>
    </border>
    <border>
      <left style="thin">
        <color indexed="55"/>
      </left>
      <right style="thin">
        <color indexed="55"/>
      </right>
      <top style="thin">
        <color theme="0" tint="-0.34998626667073579"/>
      </top>
      <bottom style="medium">
        <color indexed="64"/>
      </bottom>
      <diagonal/>
    </border>
    <border>
      <left style="thin">
        <color indexed="55"/>
      </left>
      <right style="thin">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right/>
      <top style="thin">
        <color rgb="FF969696"/>
      </top>
      <bottom/>
      <diagonal/>
    </border>
    <border>
      <left style="thin">
        <color theme="0" tint="-0.34998626667073579"/>
      </left>
      <right/>
      <top style="thin">
        <color rgb="FF969696"/>
      </top>
      <bottom style="thin">
        <color indexed="64"/>
      </bottom>
      <diagonal/>
    </border>
    <border>
      <left/>
      <right/>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medium">
        <color indexed="64"/>
      </bottom>
      <diagonal/>
    </border>
    <border>
      <left/>
      <right style="medium">
        <color indexed="64"/>
      </right>
      <top style="thin">
        <color theme="0" tint="-0.34998626667073579"/>
      </top>
      <bottom style="thin">
        <color indexed="64"/>
      </bottom>
      <diagonal/>
    </border>
    <border>
      <left/>
      <right style="thin">
        <color indexed="64"/>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55"/>
      </right>
      <top/>
      <bottom style="thin">
        <color theme="0" tint="-0.34998626667073579"/>
      </bottom>
      <diagonal/>
    </border>
    <border>
      <left style="thin">
        <color indexed="55"/>
      </left>
      <right style="thin">
        <color indexed="55"/>
      </right>
      <top/>
      <bottom style="thin">
        <color theme="0" tint="-0.34998626667073579"/>
      </bottom>
      <diagonal/>
    </border>
    <border>
      <left style="thin">
        <color indexed="55"/>
      </left>
      <right style="medium">
        <color indexed="64"/>
      </right>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rgb="FF969696"/>
      </right>
      <top/>
      <bottom/>
      <diagonal/>
    </border>
    <border>
      <left/>
      <right style="thin">
        <color rgb="FF969696"/>
      </right>
      <top/>
      <bottom/>
      <diagonal/>
    </border>
    <border>
      <left style="thin">
        <color rgb="FF969696"/>
      </left>
      <right style="thin">
        <color rgb="FF969696"/>
      </right>
      <top/>
      <bottom/>
      <diagonal/>
    </border>
    <border>
      <left style="thin">
        <color rgb="FF969696"/>
      </left>
      <right style="medium">
        <color indexed="64"/>
      </right>
      <top/>
      <bottom/>
      <diagonal/>
    </border>
    <border>
      <left/>
      <right style="thin">
        <color theme="0" tint="-0.34998626667073579"/>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style="thin">
        <color rgb="FF969696"/>
      </left>
      <right/>
      <top/>
      <bottom/>
      <diagonal/>
    </border>
    <border>
      <left style="thin">
        <color rgb="FF969696"/>
      </left>
      <right/>
      <top style="thin">
        <color theme="0" tint="-0.34998626667073579"/>
      </top>
      <bottom style="medium">
        <color indexed="64"/>
      </bottom>
      <diagonal/>
    </border>
    <border>
      <left/>
      <right style="thin">
        <color indexed="64"/>
      </right>
      <top style="medium">
        <color indexed="64"/>
      </top>
      <bottom style="thin">
        <color theme="0" tint="-0.34998626667073579"/>
      </bottom>
      <diagonal/>
    </border>
    <border>
      <left style="thin">
        <color rgb="FF969696"/>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55"/>
      </bottom>
      <diagonal/>
    </border>
    <border>
      <left/>
      <right style="thin">
        <color indexed="64"/>
      </right>
      <top style="thin">
        <color theme="0" tint="-0.34998626667073579"/>
      </top>
      <bottom style="thin">
        <color indexed="55"/>
      </bottom>
      <diagonal/>
    </border>
    <border>
      <left/>
      <right style="thin">
        <color theme="0" tint="-0.34998626667073579"/>
      </right>
      <top style="thin">
        <color indexed="55"/>
      </top>
      <bottom style="thin">
        <color indexed="64"/>
      </bottom>
      <diagonal/>
    </border>
    <border>
      <left style="thin">
        <color theme="0" tint="-0.34998626667073579"/>
      </left>
      <right/>
      <top style="thin">
        <color indexed="55"/>
      </top>
      <bottom/>
      <diagonal/>
    </border>
    <border>
      <left style="thin">
        <color indexed="55"/>
      </left>
      <right/>
      <top style="thin">
        <color theme="0" tint="-0.34998626667073579"/>
      </top>
      <bottom style="thin">
        <color indexed="55"/>
      </bottom>
      <diagonal/>
    </border>
    <border>
      <left style="thin">
        <color indexed="55"/>
      </left>
      <right/>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style="medium">
        <color indexed="64"/>
      </right>
      <top style="thin">
        <color indexed="55"/>
      </top>
      <bottom/>
      <diagonal/>
    </border>
    <border>
      <left/>
      <right style="thin">
        <color theme="0" tint="-0.34998626667073579"/>
      </right>
      <top style="thin">
        <color indexed="55"/>
      </top>
      <bottom/>
      <diagonal/>
    </border>
    <border>
      <left style="thin">
        <color indexed="55"/>
      </left>
      <right style="thin">
        <color theme="0" tint="-0.34998626667073579"/>
      </right>
      <top/>
      <bottom style="thin">
        <color indexed="64"/>
      </bottom>
      <diagonal/>
    </border>
    <border>
      <left style="thin">
        <color theme="0" tint="-0.34998626667073579"/>
      </left>
      <right style="thin">
        <color theme="0" tint="-0.34998626667073579"/>
      </right>
      <top style="thin">
        <color indexed="55"/>
      </top>
      <bottom/>
      <diagonal/>
    </border>
    <border>
      <left/>
      <right style="medium">
        <color indexed="64"/>
      </right>
      <top style="thin">
        <color theme="0" tint="-0.34998626667073579"/>
      </top>
      <bottom/>
      <diagonal/>
    </border>
    <border>
      <left/>
      <right style="thin">
        <color theme="0" tint="-0.34998626667073579"/>
      </right>
      <top/>
      <bottom style="medium">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thin">
        <color indexed="64"/>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theme="0" tint="-0.34998626667073579"/>
      </bottom>
      <diagonal/>
    </border>
    <border>
      <left style="thin">
        <color theme="0" tint="-0.34998626667073579"/>
      </left>
      <right/>
      <top style="thin">
        <color theme="0" tint="-0.34998626667073579"/>
      </top>
      <bottom style="thin">
        <color theme="0" tint="-0.249977111117893"/>
      </bottom>
      <diagonal/>
    </border>
    <border>
      <left/>
      <right/>
      <top style="thin">
        <color theme="0" tint="-0.34998626667073579"/>
      </top>
      <bottom style="thin">
        <color theme="0" tint="-0.249977111117893"/>
      </bottom>
      <diagonal/>
    </border>
    <border>
      <left/>
      <right style="medium">
        <color indexed="64"/>
      </right>
      <top style="thin">
        <color theme="0" tint="-0.34998626667073579"/>
      </top>
      <bottom style="thin">
        <color theme="0" tint="-0.249977111117893"/>
      </bottom>
      <diagonal/>
    </border>
    <border>
      <left style="thin">
        <color theme="0" tint="-0.34998626667073579"/>
      </left>
      <right style="thin">
        <color theme="0" tint="-0.34998626667073579"/>
      </right>
      <top/>
      <bottom style="medium">
        <color indexed="64"/>
      </bottom>
      <diagonal/>
    </border>
    <border>
      <left style="medium">
        <color indexed="64"/>
      </left>
      <right/>
      <top style="thin">
        <color theme="0" tint="-0.34998626667073579"/>
      </top>
      <bottom style="thin">
        <color indexed="64"/>
      </bottom>
      <diagonal/>
    </border>
    <border>
      <left style="medium">
        <color indexed="64"/>
      </left>
      <right/>
      <top/>
      <bottom style="thin">
        <color theme="0" tint="-0.34998626667073579"/>
      </bottom>
      <diagonal/>
    </border>
    <border>
      <left style="medium">
        <color indexed="64"/>
      </left>
      <right style="medium">
        <color indexed="64"/>
      </right>
      <top style="thin">
        <color theme="0" tint="-0.34998626667073579"/>
      </top>
      <bottom/>
      <diagonal/>
    </border>
    <border>
      <left style="thin">
        <color theme="0" tint="-0.34998626667073579"/>
      </left>
      <right style="thin">
        <color indexed="64"/>
      </right>
      <top/>
      <bottom style="medium">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medium">
        <color indexed="64"/>
      </right>
      <top style="thin">
        <color indexed="64"/>
      </top>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55"/>
      </left>
      <right/>
      <top style="thin">
        <color indexed="55"/>
      </top>
      <bottom style="thin">
        <color theme="0" tint="-0.34998626667073579"/>
      </bottom>
      <diagonal/>
    </border>
    <border>
      <left/>
      <right/>
      <top style="thin">
        <color indexed="55"/>
      </top>
      <bottom style="thin">
        <color theme="0" tint="-0.34998626667073579"/>
      </bottom>
      <diagonal/>
    </border>
    <border>
      <left/>
      <right style="medium">
        <color indexed="64"/>
      </right>
      <top style="thin">
        <color indexed="55"/>
      </top>
      <bottom style="thin">
        <color theme="0" tint="-0.34998626667073579"/>
      </bottom>
      <diagonal/>
    </border>
    <border>
      <left style="thin">
        <color indexed="55"/>
      </left>
      <right/>
      <top style="medium">
        <color indexed="64"/>
      </top>
      <bottom style="thin">
        <color theme="0" tint="-0.34998626667073579"/>
      </bottom>
      <diagonal/>
    </border>
    <border>
      <left style="medium">
        <color indexed="64"/>
      </left>
      <right style="thin">
        <color indexed="55"/>
      </right>
      <top style="medium">
        <color indexed="64"/>
      </top>
      <bottom style="thin">
        <color theme="0" tint="-0.34998626667073579"/>
      </bottom>
      <diagonal/>
    </border>
    <border>
      <left style="thin">
        <color indexed="55"/>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medium">
        <color indexed="64"/>
      </right>
      <top style="thin">
        <color indexed="64"/>
      </top>
      <bottom style="medium">
        <color indexed="64"/>
      </bottom>
      <diagonal/>
    </border>
    <border>
      <left style="thin">
        <color theme="0" tint="-0.34998626667073579"/>
      </left>
      <right style="thin">
        <color indexed="64"/>
      </right>
      <top style="thin">
        <color indexed="64"/>
      </top>
      <bottom style="medium">
        <color indexed="64"/>
      </bottom>
      <diagonal/>
    </border>
    <border>
      <left style="thin">
        <color theme="0" tint="-0.34998626667073579"/>
      </left>
      <right/>
      <top style="thin">
        <color indexed="64"/>
      </top>
      <bottom style="thin">
        <color indexed="64"/>
      </bottom>
      <diagonal/>
    </border>
    <border>
      <left style="thin">
        <color indexed="64"/>
      </left>
      <right style="thin">
        <color theme="0" tint="-0.34998626667073579"/>
      </right>
      <top/>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bottom style="medium">
        <color indexed="64"/>
      </bottom>
      <diagonal/>
    </border>
    <border>
      <left style="thin">
        <color theme="0" tint="-0.24994659260841701"/>
      </left>
      <right/>
      <top style="medium">
        <color indexed="64"/>
      </top>
      <bottom/>
      <diagonal/>
    </border>
    <border>
      <left style="thin">
        <color theme="0" tint="-0.24994659260841701"/>
      </left>
      <right/>
      <top/>
      <bottom style="medium">
        <color indexed="64"/>
      </bottom>
      <diagonal/>
    </border>
    <border>
      <left style="thin">
        <color theme="0" tint="-0.34998626667073579"/>
      </left>
      <right style="thin">
        <color indexed="64"/>
      </right>
      <top style="thin">
        <color indexed="64"/>
      </top>
      <bottom style="thin">
        <color indexed="64"/>
      </bottom>
      <diagonal/>
    </border>
  </borders>
  <cellStyleXfs count="11">
    <xf numFmtId="0" fontId="0" fillId="0" borderId="0"/>
    <xf numFmtId="44" fontId="19" fillId="0" borderId="0" applyFont="0" applyFill="0" applyBorder="0" applyAlignment="0" applyProtection="0"/>
    <xf numFmtId="44" fontId="20"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 fillId="0" borderId="0"/>
    <xf numFmtId="0" fontId="19" fillId="0" borderId="0"/>
    <xf numFmtId="0" fontId="20" fillId="0" borderId="0"/>
    <xf numFmtId="0" fontId="8" fillId="0" borderId="0"/>
    <xf numFmtId="9" fontId="19" fillId="0" borderId="0" applyFont="0" applyFill="0" applyBorder="0" applyAlignment="0" applyProtection="0"/>
  </cellStyleXfs>
  <cellXfs count="1911">
    <xf numFmtId="0" fontId="0" fillId="0" borderId="0" xfId="0"/>
    <xf numFmtId="0" fontId="1" fillId="0" borderId="0" xfId="6" applyFont="1" applyBorder="1" applyProtection="1"/>
    <xf numFmtId="0" fontId="1" fillId="0" borderId="1" xfId="6" applyFont="1" applyBorder="1" applyProtection="1"/>
    <xf numFmtId="0" fontId="1" fillId="0" borderId="2" xfId="6" applyFont="1" applyBorder="1" applyProtection="1"/>
    <xf numFmtId="0" fontId="1" fillId="0" borderId="3" xfId="6" applyFont="1" applyBorder="1" applyProtection="1"/>
    <xf numFmtId="0" fontId="1" fillId="0" borderId="0" xfId="6" applyFont="1" applyBorder="1" applyAlignment="1" applyProtection="1"/>
    <xf numFmtId="0" fontId="3" fillId="0" borderId="0" xfId="6" applyFont="1" applyBorder="1" applyAlignment="1" applyProtection="1"/>
    <xf numFmtId="0" fontId="4" fillId="0" borderId="0" xfId="6" applyFont="1" applyFill="1" applyBorder="1" applyAlignment="1" applyProtection="1">
      <alignment vertical="top"/>
    </xf>
    <xf numFmtId="0" fontId="1" fillId="0" borderId="0" xfId="6" applyFont="1" applyFill="1" applyBorder="1" applyAlignment="1" applyProtection="1">
      <alignment vertical="top"/>
    </xf>
    <xf numFmtId="0" fontId="1" fillId="0" borderId="4" xfId="6" applyFont="1" applyFill="1" applyBorder="1" applyAlignment="1" applyProtection="1">
      <alignment vertical="top"/>
    </xf>
    <xf numFmtId="0" fontId="1" fillId="0" borderId="5" xfId="6" applyFont="1" applyFill="1" applyBorder="1" applyAlignment="1" applyProtection="1">
      <alignment vertical="top"/>
    </xf>
    <xf numFmtId="0" fontId="2" fillId="0" borderId="6" xfId="3" applyFont="1" applyBorder="1" applyAlignment="1" applyProtection="1">
      <alignment horizontal="right"/>
    </xf>
    <xf numFmtId="0" fontId="20" fillId="0" borderId="0" xfId="7" applyFont="1" applyProtection="1"/>
    <xf numFmtId="0" fontId="23" fillId="0" borderId="0" xfId="7" applyFont="1" applyProtection="1"/>
    <xf numFmtId="0" fontId="20" fillId="0" borderId="0" xfId="7" applyFont="1" applyBorder="1" applyProtection="1"/>
    <xf numFmtId="0" fontId="2" fillId="0" borderId="7" xfId="3" applyFont="1" applyBorder="1" applyAlignment="1" applyProtection="1">
      <alignment vertical="center"/>
    </xf>
    <xf numFmtId="0" fontId="20" fillId="0" borderId="0" xfId="8" applyFont="1" applyProtection="1"/>
    <xf numFmtId="0" fontId="20" fillId="4" borderId="3" xfId="7" applyFont="1" applyFill="1" applyBorder="1" applyAlignment="1" applyProtection="1">
      <alignment horizontal="center" vertical="center"/>
    </xf>
    <xf numFmtId="0" fontId="20" fillId="4" borderId="0" xfId="7" applyFont="1" applyFill="1" applyBorder="1" applyAlignment="1" applyProtection="1">
      <alignment horizontal="center" vertical="center"/>
    </xf>
    <xf numFmtId="0" fontId="20" fillId="0" borderId="0" xfId="7" applyFont="1" applyBorder="1" applyAlignment="1" applyProtection="1">
      <alignment horizontal="left" vertical="center"/>
    </xf>
    <xf numFmtId="0" fontId="20" fillId="0" borderId="8" xfId="7" applyFont="1" applyBorder="1" applyAlignment="1" applyProtection="1">
      <alignment horizontal="left" vertical="center"/>
    </xf>
    <xf numFmtId="0" fontId="2" fillId="0" borderId="5" xfId="3" applyBorder="1" applyAlignment="1" applyProtection="1">
      <alignment horizontal="center"/>
    </xf>
    <xf numFmtId="0" fontId="2" fillId="0" borderId="6" xfId="3" applyBorder="1" applyAlignment="1" applyProtection="1">
      <alignment horizontal="right"/>
    </xf>
    <xf numFmtId="9" fontId="1" fillId="0" borderId="9" xfId="6" applyNumberFormat="1" applyBorder="1" applyAlignment="1" applyProtection="1">
      <alignment horizontal="center" vertical="center" wrapText="1"/>
      <protection hidden="1"/>
    </xf>
    <xf numFmtId="9" fontId="1" fillId="0" borderId="10" xfId="6" applyNumberFormat="1" applyBorder="1" applyAlignment="1" applyProtection="1">
      <alignment horizontal="center" vertical="center" wrapText="1"/>
      <protection hidden="1"/>
    </xf>
    <xf numFmtId="0" fontId="1" fillId="5" borderId="11" xfId="3" applyFont="1" applyFill="1" applyBorder="1" applyAlignment="1" applyProtection="1">
      <alignment horizontal="center" vertical="center" wrapText="1"/>
    </xf>
    <xf numFmtId="0" fontId="1" fillId="5" borderId="12" xfId="3" applyFont="1" applyFill="1" applyBorder="1" applyAlignment="1" applyProtection="1">
      <alignment horizontal="center" vertical="center" wrapText="1"/>
    </xf>
    <xf numFmtId="0" fontId="2" fillId="0" borderId="13" xfId="3" applyBorder="1" applyAlignment="1" applyProtection="1">
      <alignment vertical="center"/>
    </xf>
    <xf numFmtId="0" fontId="2" fillId="0" borderId="14" xfId="3" applyFont="1" applyBorder="1" applyAlignment="1" applyProtection="1">
      <alignment horizontal="right" vertical="center"/>
    </xf>
    <xf numFmtId="0" fontId="0" fillId="6" borderId="0" xfId="0" applyFill="1"/>
    <xf numFmtId="0" fontId="24" fillId="0" borderId="0" xfId="8" applyFont="1" applyProtection="1"/>
    <xf numFmtId="0" fontId="9" fillId="0" borderId="0" xfId="5" applyBorder="1" applyAlignment="1" applyProtection="1">
      <alignment horizontal="left"/>
    </xf>
    <xf numFmtId="0" fontId="20" fillId="5" borderId="140" xfId="7" applyFont="1" applyFill="1" applyBorder="1" applyAlignment="1" applyProtection="1">
      <alignment vertical="center" wrapText="1"/>
    </xf>
    <xf numFmtId="0" fontId="9" fillId="0" borderId="0" xfId="5" applyBorder="1" applyAlignment="1" applyProtection="1">
      <alignment horizontal="center"/>
    </xf>
    <xf numFmtId="0" fontId="9" fillId="0" borderId="8" xfId="5" applyBorder="1" applyAlignment="1" applyProtection="1">
      <alignment horizontal="right"/>
    </xf>
    <xf numFmtId="0" fontId="20" fillId="5" borderId="141" xfId="8" applyFont="1" applyFill="1" applyBorder="1" applyAlignment="1" applyProtection="1">
      <alignment horizontal="center" vertical="center" wrapText="1"/>
    </xf>
    <xf numFmtId="0" fontId="20" fillId="5" borderId="142" xfId="8" applyFont="1" applyFill="1" applyBorder="1" applyAlignment="1" applyProtection="1">
      <alignment vertical="center" wrapText="1"/>
    </xf>
    <xf numFmtId="0" fontId="20" fillId="5" borderId="143" xfId="8" quotePrefix="1" applyFont="1" applyFill="1" applyBorder="1" applyAlignment="1" applyProtection="1">
      <alignment horizontal="center" vertical="center" wrapText="1"/>
    </xf>
    <xf numFmtId="0" fontId="20" fillId="7" borderId="143" xfId="7" applyFont="1" applyFill="1" applyBorder="1" applyAlignment="1" applyProtection="1">
      <alignment horizontal="center" vertical="center" wrapText="1"/>
    </xf>
    <xf numFmtId="0" fontId="20" fillId="7" borderId="144" xfId="7" applyFont="1" applyFill="1" applyBorder="1" applyAlignment="1" applyProtection="1">
      <alignment horizontal="center" vertical="center" wrapText="1"/>
    </xf>
    <xf numFmtId="0" fontId="20" fillId="0" borderId="3" xfId="7" applyFont="1" applyBorder="1" applyAlignment="1" applyProtection="1">
      <alignment vertical="center"/>
    </xf>
    <xf numFmtId="0" fontId="20" fillId="0" borderId="0" xfId="7" applyFont="1" applyBorder="1" applyAlignment="1" applyProtection="1">
      <alignment vertical="center"/>
    </xf>
    <xf numFmtId="0" fontId="20" fillId="0" borderId="8" xfId="7" applyFont="1" applyBorder="1" applyAlignment="1" applyProtection="1">
      <alignment vertical="center"/>
    </xf>
    <xf numFmtId="0" fontId="1" fillId="0" borderId="0" xfId="7" applyFont="1" applyAlignment="1" applyProtection="1">
      <alignment vertical="center"/>
    </xf>
    <xf numFmtId="0" fontId="25" fillId="0" borderId="0" xfId="7" applyFont="1" applyAlignment="1" applyProtection="1">
      <alignment vertical="center"/>
    </xf>
    <xf numFmtId="0" fontId="20" fillId="0" borderId="0" xfId="7" applyFont="1" applyAlignment="1" applyProtection="1">
      <alignment vertical="center"/>
    </xf>
    <xf numFmtId="0" fontId="26" fillId="0" borderId="0" xfId="7" applyFont="1" applyAlignment="1" applyProtection="1">
      <alignment vertical="center"/>
    </xf>
    <xf numFmtId="0" fontId="23" fillId="0" borderId="0" xfId="7" applyFont="1" applyAlignment="1" applyProtection="1">
      <alignment vertical="center"/>
    </xf>
    <xf numFmtId="0" fontId="1" fillId="0" borderId="0" xfId="6" applyProtection="1"/>
    <xf numFmtId="0" fontId="1" fillId="0" borderId="0" xfId="6" applyAlignment="1" applyProtection="1">
      <alignment horizontal="left" vertical="center"/>
    </xf>
    <xf numFmtId="0" fontId="1" fillId="5" borderId="145" xfId="6" applyFont="1" applyFill="1" applyBorder="1" applyAlignment="1" applyProtection="1">
      <alignment horizontal="center" vertical="center" wrapText="1"/>
    </xf>
    <xf numFmtId="0" fontId="1" fillId="5" borderId="18" xfId="6" applyFont="1" applyFill="1" applyBorder="1" applyAlignment="1" applyProtection="1">
      <alignment horizontal="center" vertical="center" wrapText="1"/>
    </xf>
    <xf numFmtId="0" fontId="1" fillId="0" borderId="0" xfId="6" applyAlignment="1" applyProtection="1">
      <alignment horizontal="left"/>
    </xf>
    <xf numFmtId="49" fontId="1" fillId="5" borderId="146" xfId="6" applyNumberFormat="1" applyFill="1" applyBorder="1" applyAlignment="1" applyProtection="1">
      <alignment horizontal="center" vertical="center"/>
    </xf>
    <xf numFmtId="49" fontId="1" fillId="5" borderId="21" xfId="6" applyNumberFormat="1" applyFill="1" applyBorder="1" applyAlignment="1" applyProtection="1">
      <alignment horizontal="center" vertical="center"/>
    </xf>
    <xf numFmtId="49" fontId="1" fillId="5" borderId="17" xfId="6" applyNumberFormat="1" applyFill="1" applyBorder="1" applyAlignment="1" applyProtection="1">
      <alignment horizontal="center" vertical="center"/>
    </xf>
    <xf numFmtId="0" fontId="1" fillId="0" borderId="5" xfId="6" applyBorder="1" applyProtection="1"/>
    <xf numFmtId="0" fontId="1" fillId="0" borderId="0" xfId="8" applyFont="1" applyBorder="1" applyProtection="1"/>
    <xf numFmtId="0" fontId="1" fillId="0" borderId="0" xfId="8" applyFont="1" applyBorder="1" applyAlignment="1" applyProtection="1">
      <alignment horizontal="center"/>
    </xf>
    <xf numFmtId="0" fontId="1" fillId="0" borderId="3" xfId="8" applyFont="1" applyBorder="1" applyProtection="1"/>
    <xf numFmtId="0" fontId="1" fillId="0" borderId="8" xfId="8" applyFont="1" applyBorder="1" applyProtection="1"/>
    <xf numFmtId="0" fontId="20" fillId="4" borderId="0" xfId="0" applyFont="1" applyFill="1" applyProtection="1"/>
    <xf numFmtId="0" fontId="1" fillId="0" borderId="0" xfId="6" applyFont="1" applyProtection="1"/>
    <xf numFmtId="0" fontId="1" fillId="0" borderId="0" xfId="6" quotePrefix="1" applyFont="1" applyProtection="1"/>
    <xf numFmtId="0" fontId="4" fillId="0" borderId="0" xfId="6" applyFont="1" applyProtection="1"/>
    <xf numFmtId="49" fontId="1" fillId="5" borderId="12" xfId="8" applyNumberFormat="1" applyFont="1" applyFill="1" applyBorder="1" applyAlignment="1" applyProtection="1">
      <alignment horizontal="center" vertical="center"/>
    </xf>
    <xf numFmtId="0" fontId="1" fillId="5" borderId="147" xfId="6" applyFill="1" applyBorder="1" applyAlignment="1" applyProtection="1"/>
    <xf numFmtId="0" fontId="1" fillId="5" borderId="148" xfId="6" applyFill="1" applyBorder="1" applyAlignment="1" applyProtection="1"/>
    <xf numFmtId="0" fontId="1" fillId="5" borderId="149" xfId="6" applyFill="1" applyBorder="1" applyAlignment="1" applyProtection="1">
      <alignment horizontal="center"/>
    </xf>
    <xf numFmtId="0" fontId="1" fillId="5" borderId="150" xfId="6" applyFill="1" applyBorder="1" applyAlignment="1" applyProtection="1">
      <alignment horizontal="center"/>
    </xf>
    <xf numFmtId="0" fontId="1" fillId="5" borderId="1" xfId="6" applyFill="1" applyBorder="1" applyAlignment="1" applyProtection="1">
      <alignment vertical="center" wrapText="1"/>
    </xf>
    <xf numFmtId="0" fontId="1" fillId="5" borderId="2" xfId="6" applyFill="1" applyBorder="1" applyAlignment="1" applyProtection="1">
      <alignment vertical="center" wrapText="1"/>
    </xf>
    <xf numFmtId="0" fontId="1" fillId="5" borderId="3" xfId="6" applyFill="1" applyBorder="1" applyAlignment="1" applyProtection="1">
      <alignment vertical="center" wrapText="1"/>
    </xf>
    <xf numFmtId="0" fontId="1" fillId="5" borderId="0" xfId="6" applyFill="1" applyBorder="1" applyAlignment="1" applyProtection="1">
      <alignment vertical="center" wrapText="1"/>
    </xf>
    <xf numFmtId="0" fontId="1" fillId="5" borderId="0" xfId="6" applyFill="1" applyBorder="1" applyAlignment="1" applyProtection="1">
      <alignment horizontal="right" vertical="center" wrapText="1"/>
    </xf>
    <xf numFmtId="0" fontId="4" fillId="5" borderId="24" xfId="6" applyFont="1" applyFill="1" applyBorder="1" applyAlignment="1" applyProtection="1">
      <alignment horizontal="center"/>
    </xf>
    <xf numFmtId="0" fontId="1" fillId="0" borderId="0" xfId="6" quotePrefix="1" applyProtection="1"/>
    <xf numFmtId="0" fontId="1" fillId="5" borderId="25" xfId="6" applyFill="1" applyBorder="1" applyAlignment="1" applyProtection="1">
      <alignment vertical="center" wrapText="1"/>
    </xf>
    <xf numFmtId="0" fontId="1" fillId="5" borderId="26" xfId="6" applyFill="1" applyBorder="1" applyAlignment="1" applyProtection="1">
      <alignment vertical="center" wrapText="1"/>
    </xf>
    <xf numFmtId="0" fontId="1" fillId="5" borderId="27" xfId="6" applyFill="1" applyBorder="1" applyAlignment="1" applyProtection="1">
      <alignment horizontal="center"/>
    </xf>
    <xf numFmtId="0" fontId="1" fillId="5" borderId="28" xfId="6" applyFill="1" applyBorder="1" applyAlignment="1" applyProtection="1">
      <alignment horizontal="center"/>
    </xf>
    <xf numFmtId="0" fontId="1" fillId="5" borderId="0" xfId="6" applyFill="1" applyBorder="1" applyAlignment="1" applyProtection="1">
      <alignment horizontal="center"/>
    </xf>
    <xf numFmtId="0" fontId="1" fillId="5" borderId="29" xfId="6" applyFill="1" applyBorder="1" applyAlignment="1" applyProtection="1">
      <alignment horizontal="center"/>
    </xf>
    <xf numFmtId="0" fontId="1" fillId="0" borderId="3" xfId="6" applyBorder="1" applyProtection="1"/>
    <xf numFmtId="0" fontId="1" fillId="0" borderId="0" xfId="6" applyBorder="1" applyProtection="1"/>
    <xf numFmtId="0" fontId="1" fillId="0" borderId="8" xfId="6" applyBorder="1" applyProtection="1"/>
    <xf numFmtId="0" fontId="8" fillId="0" borderId="0" xfId="9" applyProtection="1"/>
    <xf numFmtId="0" fontId="1" fillId="0" borderId="0" xfId="9" applyFont="1" applyProtection="1"/>
    <xf numFmtId="0" fontId="8" fillId="0" borderId="0" xfId="9" applyBorder="1" applyProtection="1"/>
    <xf numFmtId="0" fontId="1" fillId="5" borderId="15" xfId="6" applyFill="1" applyBorder="1" applyAlignment="1" applyProtection="1">
      <alignment horizontal="center"/>
    </xf>
    <xf numFmtId="0" fontId="1" fillId="5" borderId="0" xfId="6" applyFill="1" applyBorder="1" applyAlignment="1" applyProtection="1">
      <alignment horizontal="right" vertical="center"/>
    </xf>
    <xf numFmtId="0" fontId="1" fillId="5" borderId="30" xfId="6" applyFill="1" applyBorder="1" applyAlignment="1" applyProtection="1">
      <alignment vertical="center"/>
    </xf>
    <xf numFmtId="0" fontId="1" fillId="5" borderId="26" xfId="6" applyFill="1" applyBorder="1" applyAlignment="1" applyProtection="1">
      <alignment vertical="center"/>
    </xf>
    <xf numFmtId="0" fontId="1" fillId="5" borderId="31" xfId="6" applyFill="1" applyBorder="1" applyAlignment="1" applyProtection="1">
      <alignment vertical="center"/>
    </xf>
    <xf numFmtId="0" fontId="1" fillId="5" borderId="2" xfId="6" applyFill="1" applyBorder="1" applyAlignment="1" applyProtection="1">
      <alignment vertical="center"/>
    </xf>
    <xf numFmtId="0" fontId="1" fillId="5" borderId="32" xfId="6" applyFill="1" applyBorder="1" applyAlignment="1" applyProtection="1">
      <alignment vertical="center"/>
    </xf>
    <xf numFmtId="0" fontId="1" fillId="5" borderId="33" xfId="6" applyFill="1" applyBorder="1" applyAlignment="1" applyProtection="1">
      <alignment horizontal="right" vertical="center"/>
    </xf>
    <xf numFmtId="0" fontId="1" fillId="0" borderId="0" xfId="6" applyAlignment="1" applyProtection="1">
      <alignment vertical="center"/>
    </xf>
    <xf numFmtId="0" fontId="1" fillId="5" borderId="34" xfId="6" applyFill="1" applyBorder="1" applyAlignment="1" applyProtection="1">
      <alignment horizontal="center"/>
    </xf>
    <xf numFmtId="0" fontId="1" fillId="5" borderId="19" xfId="6" applyFill="1" applyBorder="1" applyAlignment="1" applyProtection="1">
      <alignment horizontal="center"/>
    </xf>
    <xf numFmtId="0" fontId="20" fillId="5" borderId="147" xfId="7" applyFont="1" applyFill="1" applyBorder="1" applyProtection="1"/>
    <xf numFmtId="0" fontId="20" fillId="5" borderId="3" xfId="7" applyFont="1" applyFill="1" applyBorder="1" applyProtection="1"/>
    <xf numFmtId="0" fontId="20" fillId="5" borderId="151" xfId="7" applyFont="1" applyFill="1" applyBorder="1" applyProtection="1"/>
    <xf numFmtId="0" fontId="20" fillId="5" borderId="13" xfId="7" applyFont="1" applyFill="1" applyBorder="1" applyAlignment="1" applyProtection="1">
      <alignment vertical="center"/>
    </xf>
    <xf numFmtId="0" fontId="27" fillId="0" borderId="3" xfId="6" applyFont="1" applyBorder="1" applyAlignment="1" applyProtection="1">
      <alignment vertical="center" wrapText="1"/>
    </xf>
    <xf numFmtId="0" fontId="27" fillId="0" borderId="0" xfId="6" applyFont="1" applyAlignment="1" applyProtection="1">
      <alignment vertical="center" wrapText="1"/>
    </xf>
    <xf numFmtId="0" fontId="1" fillId="5" borderId="36" xfId="6" applyFont="1" applyFill="1" applyBorder="1" applyAlignment="1" applyProtection="1">
      <alignment horizontal="center" vertical="center" wrapText="1"/>
    </xf>
    <xf numFmtId="0" fontId="1" fillId="5" borderId="152" xfId="6" applyFont="1" applyFill="1" applyBorder="1" applyAlignment="1" applyProtection="1">
      <alignment horizontal="center" vertical="center" wrapText="1"/>
    </xf>
    <xf numFmtId="0" fontId="2" fillId="0" borderId="7" xfId="3" applyBorder="1" applyAlignment="1" applyProtection="1">
      <alignment horizontal="center" vertical="center"/>
    </xf>
    <xf numFmtId="0" fontId="1" fillId="5" borderId="153" xfId="6" applyFont="1" applyFill="1" applyBorder="1" applyAlignment="1" applyProtection="1">
      <alignment horizontal="center" vertical="center"/>
    </xf>
    <xf numFmtId="0" fontId="1" fillId="5" borderId="154" xfId="6" applyFont="1" applyFill="1" applyBorder="1" applyAlignment="1" applyProtection="1">
      <alignment horizontal="center" vertical="center"/>
    </xf>
    <xf numFmtId="0" fontId="1" fillId="5" borderId="13" xfId="6" applyFont="1" applyFill="1" applyBorder="1" applyAlignment="1" applyProtection="1">
      <alignment horizontal="center" vertical="center"/>
    </xf>
    <xf numFmtId="0" fontId="20" fillId="0" borderId="7" xfId="7" applyFont="1" applyBorder="1" applyProtection="1"/>
    <xf numFmtId="0" fontId="2" fillId="0" borderId="14" xfId="3" applyBorder="1" applyAlignment="1" applyProtection="1">
      <alignment horizontal="right" vertical="center"/>
    </xf>
    <xf numFmtId="0" fontId="2" fillId="0" borderId="7" xfId="3" applyFont="1" applyBorder="1" applyAlignment="1" applyProtection="1">
      <alignment horizontal="right" vertical="center"/>
    </xf>
    <xf numFmtId="0" fontId="1" fillId="0" borderId="7" xfId="6" applyBorder="1" applyProtection="1"/>
    <xf numFmtId="0" fontId="0" fillId="0" borderId="0" xfId="0" applyAlignment="1">
      <alignment vertical="center"/>
    </xf>
    <xf numFmtId="0" fontId="0" fillId="0" borderId="0" xfId="0" applyBorder="1" applyAlignment="1">
      <alignment vertical="center"/>
    </xf>
    <xf numFmtId="0" fontId="27" fillId="0" borderId="0" xfId="6" applyFont="1" applyBorder="1" applyAlignment="1" applyProtection="1">
      <alignment horizontal="left" vertical="center" wrapText="1"/>
    </xf>
    <xf numFmtId="0" fontId="1" fillId="5" borderId="155" xfId="6" applyFill="1" applyBorder="1" applyAlignment="1" applyProtection="1">
      <alignment horizontal="center" vertical="center"/>
    </xf>
    <xf numFmtId="9" fontId="24" fillId="0" borderId="0" xfId="7" applyNumberFormat="1" applyFont="1" applyProtection="1"/>
    <xf numFmtId="0" fontId="20" fillId="5" borderId="156" xfId="0" applyFont="1" applyFill="1" applyBorder="1" applyAlignment="1" applyProtection="1">
      <alignment horizontal="center"/>
    </xf>
    <xf numFmtId="0" fontId="20" fillId="5" borderId="157" xfId="0" applyFont="1" applyFill="1" applyBorder="1" applyAlignment="1" applyProtection="1">
      <alignment horizontal="center"/>
    </xf>
    <xf numFmtId="0" fontId="20" fillId="5" borderId="158" xfId="0" applyFont="1" applyFill="1" applyBorder="1" applyAlignment="1" applyProtection="1">
      <alignment horizontal="center"/>
    </xf>
    <xf numFmtId="0" fontId="20" fillId="4" borderId="3" xfId="0" applyFont="1" applyFill="1" applyBorder="1" applyProtection="1"/>
    <xf numFmtId="0" fontId="20" fillId="4" borderId="0" xfId="0" applyFont="1" applyFill="1" applyBorder="1" applyProtection="1"/>
    <xf numFmtId="0" fontId="20" fillId="4" borderId="8" xfId="0" applyFont="1" applyFill="1" applyBorder="1" applyProtection="1"/>
    <xf numFmtId="0" fontId="1" fillId="0" borderId="7" xfId="6" applyFont="1" applyBorder="1" applyProtection="1"/>
    <xf numFmtId="0" fontId="1" fillId="7" borderId="159" xfId="6" applyFont="1" applyFill="1" applyBorder="1" applyAlignment="1" applyProtection="1">
      <alignment horizontal="center" vertical="center" wrapText="1"/>
    </xf>
    <xf numFmtId="0" fontId="1" fillId="7" borderId="160" xfId="6" applyFont="1" applyFill="1" applyBorder="1" applyAlignment="1" applyProtection="1">
      <alignment horizontal="center" vertical="center" wrapText="1"/>
    </xf>
    <xf numFmtId="0" fontId="1" fillId="7" borderId="161" xfId="6" applyFont="1" applyFill="1" applyBorder="1" applyAlignment="1" applyProtection="1">
      <alignment horizontal="center" vertical="center" wrapText="1"/>
    </xf>
    <xf numFmtId="0" fontId="1" fillId="7" borderId="162" xfId="6" applyFont="1" applyFill="1" applyBorder="1" applyAlignment="1" applyProtection="1">
      <alignment horizontal="center" vertical="center" wrapText="1"/>
    </xf>
    <xf numFmtId="0" fontId="26" fillId="0" borderId="0" xfId="7" applyFont="1" applyProtection="1"/>
    <xf numFmtId="0" fontId="1" fillId="8" borderId="157" xfId="7" applyFont="1" applyFill="1" applyBorder="1" applyAlignment="1" applyProtection="1">
      <alignment horizontal="center" vertical="center" wrapText="1"/>
    </xf>
    <xf numFmtId="0" fontId="28" fillId="0" borderId="0" xfId="7" applyFont="1" applyFill="1" applyBorder="1" applyAlignment="1" applyProtection="1">
      <alignment horizontal="center"/>
    </xf>
    <xf numFmtId="0" fontId="28" fillId="0" borderId="8" xfId="7" applyFont="1" applyFill="1" applyBorder="1" applyAlignment="1" applyProtection="1">
      <alignment horizontal="center"/>
    </xf>
    <xf numFmtId="0" fontId="1" fillId="5" borderId="163" xfId="6" applyFill="1" applyBorder="1" applyAlignment="1" applyProtection="1">
      <alignment horizontal="center"/>
    </xf>
    <xf numFmtId="0" fontId="1" fillId="5" borderId="164" xfId="6" applyFill="1" applyBorder="1" applyAlignment="1" applyProtection="1">
      <alignment horizontal="center"/>
    </xf>
    <xf numFmtId="176" fontId="1" fillId="5" borderId="44" xfId="6" applyNumberFormat="1" applyFill="1" applyBorder="1" applyAlignment="1" applyProtection="1">
      <alignment horizontal="center" vertical="center"/>
    </xf>
    <xf numFmtId="0" fontId="1" fillId="5" borderId="37" xfId="6" applyNumberFormat="1" applyFill="1" applyBorder="1" applyAlignment="1" applyProtection="1">
      <alignment horizontal="center" vertical="center"/>
    </xf>
    <xf numFmtId="0" fontId="1" fillId="5" borderId="45" xfId="6" applyNumberFormat="1" applyFill="1" applyBorder="1" applyAlignment="1" applyProtection="1">
      <alignment horizontal="center" vertical="center"/>
    </xf>
    <xf numFmtId="0" fontId="1" fillId="5" borderId="16" xfId="6" applyNumberFormat="1" applyFill="1" applyBorder="1" applyAlignment="1" applyProtection="1">
      <alignment horizontal="center" vertical="center"/>
    </xf>
    <xf numFmtId="0" fontId="1" fillId="5" borderId="46" xfId="6" applyNumberFormat="1" applyFill="1" applyBorder="1" applyAlignment="1" applyProtection="1">
      <alignment horizontal="center" vertical="center"/>
    </xf>
    <xf numFmtId="0" fontId="2" fillId="0" borderId="7" xfId="3" applyBorder="1" applyAlignment="1" applyProtection="1">
      <alignment horizontal="left" vertical="center"/>
    </xf>
    <xf numFmtId="0" fontId="1" fillId="5" borderId="165" xfId="6" applyFill="1" applyBorder="1" applyAlignment="1" applyProtection="1">
      <alignment vertical="center" wrapText="1"/>
    </xf>
    <xf numFmtId="0" fontId="1" fillId="5" borderId="166" xfId="6" applyFill="1" applyBorder="1" applyAlignment="1" applyProtection="1">
      <alignment vertical="center" wrapText="1"/>
    </xf>
    <xf numFmtId="0" fontId="8" fillId="5" borderId="15" xfId="9" applyFill="1" applyBorder="1" applyAlignment="1" applyProtection="1">
      <alignment horizontal="left" vertical="center" wrapText="1"/>
    </xf>
    <xf numFmtId="0" fontId="1" fillId="5" borderId="15" xfId="9" applyFont="1" applyFill="1" applyBorder="1" applyAlignment="1" applyProtection="1">
      <alignment horizontal="center" vertical="center" wrapText="1"/>
    </xf>
    <xf numFmtId="0" fontId="1" fillId="5" borderId="47" xfId="9" applyFont="1" applyFill="1" applyBorder="1" applyAlignment="1" applyProtection="1">
      <alignment horizontal="center" vertical="center" wrapText="1"/>
    </xf>
    <xf numFmtId="0" fontId="1" fillId="5" borderId="167" xfId="9" applyFont="1" applyFill="1" applyBorder="1" applyAlignment="1" applyProtection="1">
      <alignment horizontal="center" vertical="center" wrapText="1"/>
    </xf>
    <xf numFmtId="0" fontId="1" fillId="5" borderId="168" xfId="9" applyFont="1" applyFill="1" applyBorder="1" applyAlignment="1" applyProtection="1">
      <alignment horizontal="center" vertical="center" wrapText="1"/>
    </xf>
    <xf numFmtId="0" fontId="1" fillId="5" borderId="169" xfId="6" applyFill="1" applyBorder="1" applyAlignment="1" applyProtection="1">
      <alignment vertical="center" wrapText="1"/>
    </xf>
    <xf numFmtId="0" fontId="20" fillId="7" borderId="170" xfId="7" quotePrefix="1" applyFont="1" applyFill="1" applyBorder="1" applyAlignment="1" applyProtection="1">
      <alignment horizontal="center" vertical="center"/>
    </xf>
    <xf numFmtId="0" fontId="20" fillId="7" borderId="171" xfId="7" applyFont="1" applyFill="1" applyBorder="1" applyAlignment="1" applyProtection="1">
      <alignment horizontal="center" vertical="center" wrapText="1"/>
    </xf>
    <xf numFmtId="0" fontId="20" fillId="7" borderId="172" xfId="7" applyFont="1" applyFill="1" applyBorder="1" applyAlignment="1" applyProtection="1">
      <alignment horizontal="center" vertical="center"/>
    </xf>
    <xf numFmtId="0" fontId="29" fillId="0" borderId="0" xfId="7" applyFont="1" applyAlignment="1" applyProtection="1">
      <alignment vertical="center"/>
    </xf>
    <xf numFmtId="0" fontId="30" fillId="0" borderId="7" xfId="3" applyFont="1" applyBorder="1" applyAlignment="1" applyProtection="1">
      <alignment vertical="center"/>
    </xf>
    <xf numFmtId="0" fontId="30" fillId="0" borderId="2" xfId="3" applyFont="1" applyBorder="1" applyAlignment="1" applyProtection="1">
      <alignment horizontal="center" vertical="center"/>
    </xf>
    <xf numFmtId="0" fontId="20" fillId="7" borderId="32" xfId="7" applyFont="1" applyFill="1" applyBorder="1" applyAlignment="1" applyProtection="1">
      <alignment horizontal="center" vertical="center"/>
    </xf>
    <xf numFmtId="0" fontId="31" fillId="7" borderId="50" xfId="7" applyFont="1" applyFill="1" applyBorder="1" applyAlignment="1" applyProtection="1">
      <alignment horizontal="center" vertical="center"/>
    </xf>
    <xf numFmtId="0" fontId="31" fillId="7" borderId="51" xfId="7" applyFont="1" applyFill="1" applyBorder="1" applyAlignment="1" applyProtection="1">
      <alignment horizontal="center" vertical="center"/>
    </xf>
    <xf numFmtId="0" fontId="31" fillId="7" borderId="52" xfId="7" applyFont="1" applyFill="1" applyBorder="1" applyAlignment="1" applyProtection="1">
      <alignment horizontal="center" vertical="center"/>
    </xf>
    <xf numFmtId="0" fontId="20" fillId="7" borderId="53" xfId="7" applyFont="1" applyFill="1" applyBorder="1" applyAlignment="1" applyProtection="1">
      <alignment horizontal="center" vertical="center"/>
    </xf>
    <xf numFmtId="49" fontId="20" fillId="9" borderId="45" xfId="7" applyNumberFormat="1" applyFont="1" applyFill="1" applyBorder="1" applyAlignment="1" applyProtection="1">
      <alignment horizontal="center" vertical="center"/>
    </xf>
    <xf numFmtId="49" fontId="20" fillId="9" borderId="45" xfId="7" applyNumberFormat="1" applyFont="1" applyFill="1" applyBorder="1" applyAlignment="1" applyProtection="1">
      <alignment horizontal="center" vertical="center" wrapText="1"/>
    </xf>
    <xf numFmtId="49" fontId="20" fillId="9" borderId="16" xfId="7" applyNumberFormat="1" applyFont="1" applyFill="1" applyBorder="1" applyAlignment="1" applyProtection="1">
      <alignment horizontal="center" vertical="center"/>
    </xf>
    <xf numFmtId="49" fontId="20" fillId="5" borderId="16" xfId="7" applyNumberFormat="1" applyFont="1" applyFill="1" applyBorder="1" applyAlignment="1" applyProtection="1">
      <alignment horizontal="center" vertical="center"/>
    </xf>
    <xf numFmtId="0" fontId="20" fillId="7" borderId="20" xfId="7" applyFont="1" applyFill="1" applyBorder="1" applyAlignment="1" applyProtection="1">
      <alignment horizontal="left"/>
    </xf>
    <xf numFmtId="49" fontId="20" fillId="5" borderId="37" xfId="7" applyNumberFormat="1" applyFont="1" applyFill="1" applyBorder="1" applyAlignment="1" applyProtection="1">
      <alignment horizontal="center" vertical="center"/>
    </xf>
    <xf numFmtId="0" fontId="20" fillId="7" borderId="54" xfId="7" applyFont="1" applyFill="1" applyBorder="1" applyAlignment="1" applyProtection="1">
      <alignment horizontal="center" vertical="center"/>
    </xf>
    <xf numFmtId="9" fontId="31" fillId="0" borderId="9" xfId="7" applyNumberFormat="1" applyFont="1" applyBorder="1" applyAlignment="1" applyProtection="1">
      <alignment horizontal="center" vertical="center" wrapText="1"/>
    </xf>
    <xf numFmtId="0" fontId="1" fillId="5" borderId="55" xfId="8" applyFont="1" applyFill="1" applyBorder="1" applyAlignment="1" applyProtection="1">
      <alignment horizontal="center" vertical="center" wrapText="1"/>
    </xf>
    <xf numFmtId="0" fontId="20" fillId="5" borderId="143" xfId="7" applyFont="1" applyFill="1" applyBorder="1" applyAlignment="1" applyProtection="1">
      <alignment horizontal="center" vertical="center" wrapText="1"/>
    </xf>
    <xf numFmtId="0" fontId="20" fillId="5" borderId="164" xfId="7" applyFont="1" applyFill="1" applyBorder="1" applyAlignment="1" applyProtection="1">
      <alignment horizontal="center" vertical="center" wrapText="1"/>
    </xf>
    <xf numFmtId="0" fontId="5" fillId="3" borderId="1" xfId="7" applyFont="1" applyFill="1" applyBorder="1" applyAlignment="1" applyProtection="1">
      <alignment vertical="center"/>
    </xf>
    <xf numFmtId="0" fontId="5" fillId="3" borderId="2" xfId="7" applyFont="1" applyFill="1" applyBorder="1" applyAlignment="1" applyProtection="1">
      <alignment vertical="center"/>
    </xf>
    <xf numFmtId="0" fontId="5" fillId="3" borderId="56" xfId="7" applyFont="1" applyFill="1" applyBorder="1" applyAlignment="1" applyProtection="1">
      <alignment vertical="center"/>
    </xf>
    <xf numFmtId="0" fontId="20" fillId="5" borderId="173" xfId="7" applyFont="1" applyFill="1" applyBorder="1" applyAlignment="1" applyProtection="1">
      <alignment vertical="center"/>
    </xf>
    <xf numFmtId="0" fontId="20" fillId="5" borderId="174" xfId="7" applyFont="1" applyFill="1" applyBorder="1" applyAlignment="1" applyProtection="1">
      <alignment vertical="center"/>
    </xf>
    <xf numFmtId="0" fontId="20" fillId="5" borderId="175" xfId="7" applyFont="1" applyFill="1" applyBorder="1" applyAlignment="1" applyProtection="1">
      <alignment vertical="center"/>
    </xf>
    <xf numFmtId="0" fontId="20" fillId="5" borderId="142" xfId="7" applyFont="1" applyFill="1" applyBorder="1" applyAlignment="1" applyProtection="1">
      <alignment vertical="center"/>
    </xf>
    <xf numFmtId="0" fontId="20" fillId="5" borderId="167" xfId="7" quotePrefix="1" applyFont="1" applyFill="1" applyBorder="1" applyAlignment="1" applyProtection="1">
      <alignment horizontal="center" vertical="center"/>
    </xf>
    <xf numFmtId="0" fontId="20" fillId="5" borderId="144" xfId="7" quotePrefix="1" applyFont="1" applyFill="1" applyBorder="1" applyAlignment="1" applyProtection="1">
      <alignment horizontal="center" vertical="center"/>
    </xf>
    <xf numFmtId="0" fontId="20" fillId="0" borderId="7" xfId="7" applyFont="1" applyBorder="1" applyAlignment="1" applyProtection="1">
      <alignment vertical="center"/>
    </xf>
    <xf numFmtId="0" fontId="20" fillId="5" borderId="176" xfId="7" applyFont="1" applyFill="1" applyBorder="1" applyAlignment="1" applyProtection="1">
      <alignment horizontal="center" vertical="center" wrapText="1"/>
    </xf>
    <xf numFmtId="0" fontId="1" fillId="0" borderId="0" xfId="6" applyFont="1" applyAlignment="1" applyProtection="1">
      <alignment vertical="center"/>
    </xf>
    <xf numFmtId="0" fontId="4" fillId="0" borderId="0" xfId="6" applyFont="1" applyAlignment="1" applyProtection="1">
      <alignment vertical="center"/>
    </xf>
    <xf numFmtId="0" fontId="1" fillId="0" borderId="3" xfId="6" applyFont="1" applyBorder="1" applyAlignment="1" applyProtection="1">
      <alignment vertical="center"/>
    </xf>
    <xf numFmtId="0" fontId="1" fillId="0" borderId="0" xfId="6" applyFont="1" applyBorder="1" applyAlignment="1" applyProtection="1">
      <alignment vertical="center"/>
    </xf>
    <xf numFmtId="0" fontId="1" fillId="0" borderId="5" xfId="6" applyFont="1" applyBorder="1" applyAlignment="1" applyProtection="1">
      <alignment vertical="center"/>
    </xf>
    <xf numFmtId="0" fontId="1" fillId="0" borderId="6" xfId="6" applyFont="1" applyBorder="1" applyAlignment="1" applyProtection="1">
      <alignment vertical="center"/>
    </xf>
    <xf numFmtId="0" fontId="24" fillId="0" borderId="0" xfId="6" applyFont="1" applyAlignment="1" applyProtection="1">
      <alignment vertical="center"/>
    </xf>
    <xf numFmtId="0" fontId="1" fillId="0" borderId="0" xfId="9" applyFont="1" applyAlignment="1" applyProtection="1">
      <alignment vertical="center"/>
    </xf>
    <xf numFmtId="0" fontId="8" fillId="0" borderId="0" xfId="9" applyAlignment="1" applyProtection="1">
      <alignment vertical="center"/>
    </xf>
    <xf numFmtId="0" fontId="8" fillId="0" borderId="7" xfId="9" applyBorder="1" applyAlignment="1" applyProtection="1">
      <alignment vertical="center"/>
    </xf>
    <xf numFmtId="0" fontId="1" fillId="0" borderId="0" xfId="8" applyFont="1" applyBorder="1" applyAlignment="1" applyProtection="1">
      <alignment vertical="center"/>
    </xf>
    <xf numFmtId="0" fontId="1" fillId="0" borderId="0" xfId="8" applyFont="1" applyBorder="1" applyAlignment="1" applyProtection="1">
      <alignment horizontal="center" vertical="center"/>
    </xf>
    <xf numFmtId="0" fontId="5" fillId="5" borderId="2" xfId="8" applyFont="1" applyFill="1" applyBorder="1" applyAlignment="1" applyProtection="1">
      <alignment horizontal="left" vertical="center"/>
    </xf>
    <xf numFmtId="0" fontId="1" fillId="5" borderId="177" xfId="8" applyFont="1" applyFill="1" applyBorder="1" applyAlignment="1" applyProtection="1">
      <alignment horizontal="left" vertical="center"/>
    </xf>
    <xf numFmtId="0" fontId="1" fillId="5" borderId="178" xfId="8" applyFont="1" applyFill="1" applyBorder="1" applyAlignment="1" applyProtection="1">
      <alignment horizontal="left" vertical="center"/>
    </xf>
    <xf numFmtId="0" fontId="1" fillId="5" borderId="179" xfId="8" applyFont="1" applyFill="1" applyBorder="1" applyAlignment="1" applyProtection="1">
      <alignment horizontal="center" vertical="center"/>
    </xf>
    <xf numFmtId="0" fontId="1" fillId="5" borderId="142" xfId="8" applyFont="1" applyFill="1" applyBorder="1" applyAlignment="1" applyProtection="1">
      <alignment vertical="center"/>
    </xf>
    <xf numFmtId="0" fontId="1" fillId="0" borderId="54" xfId="6" applyBorder="1" applyAlignment="1" applyProtection="1">
      <alignment vertical="center"/>
    </xf>
    <xf numFmtId="0" fontId="1" fillId="0" borderId="7" xfId="6" applyBorder="1" applyAlignment="1" applyProtection="1">
      <alignment vertical="center"/>
    </xf>
    <xf numFmtId="0" fontId="20" fillId="5" borderId="180" xfId="7" applyFont="1" applyFill="1" applyBorder="1" applyAlignment="1" applyProtection="1">
      <alignment horizontal="center" vertical="center"/>
    </xf>
    <xf numFmtId="0" fontId="20" fillId="5" borderId="181" xfId="7" applyFont="1" applyFill="1" applyBorder="1" applyAlignment="1" applyProtection="1">
      <alignment horizontal="center" vertical="center"/>
    </xf>
    <xf numFmtId="0" fontId="20" fillId="5" borderId="182" xfId="7" applyFont="1" applyFill="1" applyBorder="1" applyAlignment="1" applyProtection="1">
      <alignment horizontal="center" vertical="center"/>
    </xf>
    <xf numFmtId="0" fontId="20" fillId="5" borderId="143" xfId="7" applyFont="1" applyFill="1" applyBorder="1" applyAlignment="1" applyProtection="1">
      <alignment horizontal="center" vertical="center"/>
    </xf>
    <xf numFmtId="0" fontId="20" fillId="5" borderId="183" xfId="7" applyFont="1" applyFill="1" applyBorder="1" applyAlignment="1" applyProtection="1">
      <alignment horizontal="center" vertical="center"/>
    </xf>
    <xf numFmtId="0" fontId="20" fillId="5" borderId="184" xfId="7" applyFont="1" applyFill="1" applyBorder="1" applyAlignment="1" applyProtection="1">
      <alignment horizontal="center" vertical="center"/>
    </xf>
    <xf numFmtId="0" fontId="20" fillId="5" borderId="3" xfId="7" applyFont="1" applyFill="1" applyBorder="1" applyAlignment="1" applyProtection="1">
      <alignment horizontal="center" vertical="center" wrapText="1"/>
    </xf>
    <xf numFmtId="0" fontId="20" fillId="5" borderId="185" xfId="7" applyFont="1" applyFill="1" applyBorder="1" applyAlignment="1" applyProtection="1">
      <alignment vertical="center" wrapText="1"/>
    </xf>
    <xf numFmtId="0" fontId="20" fillId="5" borderId="175" xfId="7" applyFont="1" applyFill="1" applyBorder="1" applyAlignment="1" applyProtection="1">
      <alignment vertical="center" wrapText="1"/>
    </xf>
    <xf numFmtId="0" fontId="20" fillId="5" borderId="150" xfId="7" applyFont="1" applyFill="1" applyBorder="1" applyAlignment="1" applyProtection="1">
      <alignment horizontal="center" vertical="center"/>
    </xf>
    <xf numFmtId="176" fontId="1" fillId="5" borderId="54" xfId="6" applyNumberFormat="1" applyFill="1" applyBorder="1" applyAlignment="1" applyProtection="1">
      <alignment horizontal="center" vertical="center"/>
    </xf>
    <xf numFmtId="0" fontId="1" fillId="5" borderId="47" xfId="6" applyFill="1" applyBorder="1" applyAlignment="1" applyProtection="1">
      <alignment horizontal="center" vertical="center"/>
    </xf>
    <xf numFmtId="0" fontId="1" fillId="5" borderId="54" xfId="6" applyFill="1" applyBorder="1" applyAlignment="1" applyProtection="1">
      <alignment vertical="center"/>
    </xf>
    <xf numFmtId="0" fontId="1" fillId="5" borderId="186" xfId="6" applyFill="1" applyBorder="1" applyAlignment="1" applyProtection="1">
      <alignment horizontal="center" vertical="center"/>
    </xf>
    <xf numFmtId="0" fontId="1" fillId="5" borderId="187" xfId="6" applyFill="1" applyBorder="1" applyAlignment="1" applyProtection="1">
      <alignment vertical="center"/>
    </xf>
    <xf numFmtId="176" fontId="1" fillId="5" borderId="188" xfId="6" applyNumberFormat="1" applyFill="1" applyBorder="1" applyAlignment="1" applyProtection="1">
      <alignment horizontal="center" vertical="center"/>
    </xf>
    <xf numFmtId="176" fontId="1" fillId="5" borderId="189" xfId="6" applyNumberFormat="1" applyFill="1" applyBorder="1" applyAlignment="1" applyProtection="1">
      <alignment horizontal="center" vertical="center"/>
    </xf>
    <xf numFmtId="176" fontId="1" fillId="5" borderId="5" xfId="6" applyNumberFormat="1" applyFill="1" applyBorder="1" applyAlignment="1" applyProtection="1">
      <alignment horizontal="center" vertical="center"/>
    </xf>
    <xf numFmtId="176" fontId="1" fillId="5" borderId="149" xfId="6" applyNumberFormat="1" applyFill="1" applyBorder="1" applyAlignment="1" applyProtection="1">
      <alignment horizontal="center" vertical="center"/>
    </xf>
    <xf numFmtId="0" fontId="1" fillId="5" borderId="148" xfId="6" applyFill="1" applyBorder="1" applyAlignment="1" applyProtection="1">
      <alignment vertical="center" wrapText="1"/>
    </xf>
    <xf numFmtId="0" fontId="1" fillId="5" borderId="150" xfId="6" applyFill="1" applyBorder="1" applyAlignment="1" applyProtection="1">
      <alignment vertical="center" wrapText="1"/>
    </xf>
    <xf numFmtId="0" fontId="1" fillId="5" borderId="190" xfId="6" applyFill="1" applyBorder="1" applyAlignment="1" applyProtection="1">
      <alignment vertical="center" wrapText="1"/>
    </xf>
    <xf numFmtId="0" fontId="1" fillId="5" borderId="187" xfId="6" applyFill="1" applyBorder="1" applyAlignment="1" applyProtection="1">
      <alignment vertical="center" wrapText="1"/>
    </xf>
    <xf numFmtId="0" fontId="20" fillId="5" borderId="185" xfId="7" quotePrefix="1" applyFont="1" applyFill="1" applyBorder="1" applyAlignment="1" applyProtection="1">
      <alignment horizontal="center" vertical="center" wrapText="1"/>
    </xf>
    <xf numFmtId="0" fontId="32" fillId="0" borderId="0" xfId="7" applyFont="1" applyAlignment="1" applyProtection="1">
      <alignment vertical="center"/>
    </xf>
    <xf numFmtId="0" fontId="1" fillId="5" borderId="179" xfId="8" applyFont="1" applyFill="1" applyBorder="1" applyAlignment="1" applyProtection="1">
      <alignment horizontal="center" vertical="center" wrapText="1"/>
    </xf>
    <xf numFmtId="0" fontId="1" fillId="5" borderId="163" xfId="8" applyFont="1" applyFill="1" applyBorder="1" applyAlignment="1" applyProtection="1">
      <alignment horizontal="center" vertical="center" wrapText="1"/>
    </xf>
    <xf numFmtId="0" fontId="1" fillId="5" borderId="143" xfId="8" applyFont="1" applyFill="1" applyBorder="1" applyAlignment="1" applyProtection="1">
      <alignment horizontal="center" vertical="center" wrapText="1"/>
    </xf>
    <xf numFmtId="0" fontId="1" fillId="5" borderId="173" xfId="8" applyFont="1" applyFill="1" applyBorder="1" applyAlignment="1" applyProtection="1">
      <alignment horizontal="center" vertical="center"/>
    </xf>
    <xf numFmtId="0" fontId="1" fillId="5" borderId="191" xfId="8" applyFont="1" applyFill="1" applyBorder="1" applyAlignment="1" applyProtection="1">
      <alignment horizontal="center" vertical="center"/>
    </xf>
    <xf numFmtId="0" fontId="1" fillId="5" borderId="184" xfId="8" applyFont="1" applyFill="1" applyBorder="1" applyAlignment="1" applyProtection="1">
      <alignment horizontal="center" vertical="center"/>
    </xf>
    <xf numFmtId="0" fontId="1" fillId="5" borderId="192" xfId="8" applyFont="1" applyFill="1" applyBorder="1" applyAlignment="1" applyProtection="1">
      <alignment horizontal="left" vertical="center"/>
    </xf>
    <xf numFmtId="9" fontId="1" fillId="0" borderId="62" xfId="6" applyNumberFormat="1" applyFont="1" applyBorder="1" applyAlignment="1" applyProtection="1">
      <alignment horizontal="center" vertical="center" wrapText="1"/>
    </xf>
    <xf numFmtId="0" fontId="20" fillId="0" borderId="2" xfId="7" applyFont="1" applyBorder="1" applyAlignment="1" applyProtection="1">
      <alignment vertical="center"/>
    </xf>
    <xf numFmtId="0" fontId="20" fillId="5" borderId="167" xfId="7" quotePrefix="1" applyFont="1" applyFill="1" applyBorder="1" applyAlignment="1" applyProtection="1">
      <alignment horizontal="center" vertical="center" wrapText="1"/>
    </xf>
    <xf numFmtId="0" fontId="2" fillId="0" borderId="2" xfId="3" applyBorder="1" applyAlignment="1" applyProtection="1">
      <alignment horizontal="right" vertical="center"/>
    </xf>
    <xf numFmtId="0" fontId="20" fillId="5" borderId="184" xfId="7" applyFont="1" applyFill="1" applyBorder="1" applyAlignment="1" applyProtection="1">
      <alignment horizontal="center" vertical="center" wrapText="1"/>
    </xf>
    <xf numFmtId="0" fontId="1" fillId="5" borderId="63" xfId="8" applyFont="1" applyFill="1" applyBorder="1" applyAlignment="1" applyProtection="1">
      <alignment horizontal="center" vertical="center"/>
    </xf>
    <xf numFmtId="0" fontId="20" fillId="5" borderId="193" xfId="7" quotePrefix="1" applyFont="1" applyFill="1" applyBorder="1" applyAlignment="1" applyProtection="1">
      <alignment horizontal="center" vertical="center" wrapText="1"/>
    </xf>
    <xf numFmtId="0" fontId="1" fillId="5" borderId="175" xfId="8" applyFont="1" applyFill="1" applyBorder="1" applyAlignment="1" applyProtection="1">
      <alignment vertical="center"/>
    </xf>
    <xf numFmtId="0" fontId="1" fillId="5" borderId="140" xfId="8" applyFont="1" applyFill="1" applyBorder="1" applyAlignment="1" applyProtection="1">
      <alignment vertical="center"/>
    </xf>
    <xf numFmtId="0" fontId="1" fillId="5" borderId="167" xfId="8" quotePrefix="1" applyFont="1" applyFill="1" applyBorder="1" applyAlignment="1" applyProtection="1">
      <alignment horizontal="center" vertical="center"/>
    </xf>
    <xf numFmtId="0" fontId="1" fillId="5" borderId="142" xfId="6" applyFont="1" applyFill="1" applyBorder="1" applyAlignment="1" applyProtection="1">
      <alignment horizontal="left" vertical="center" wrapText="1"/>
    </xf>
    <xf numFmtId="0" fontId="1" fillId="5" borderId="64" xfId="6" applyFont="1" applyFill="1" applyBorder="1" applyAlignment="1" applyProtection="1">
      <alignment horizontal="left" vertical="center" wrapText="1"/>
    </xf>
    <xf numFmtId="0" fontId="30" fillId="0" borderId="7" xfId="3" applyFont="1" applyFill="1" applyBorder="1" applyAlignment="1" applyProtection="1">
      <alignment horizontal="right"/>
    </xf>
    <xf numFmtId="0" fontId="30" fillId="0" borderId="3" xfId="3" applyFont="1" applyFill="1" applyBorder="1" applyAlignment="1" applyProtection="1"/>
    <xf numFmtId="0" fontId="30" fillId="0" borderId="8" xfId="3" applyFont="1" applyFill="1" applyBorder="1" applyAlignment="1" applyProtection="1">
      <alignment horizontal="right"/>
    </xf>
    <xf numFmtId="0" fontId="30" fillId="0" borderId="0" xfId="3" applyFont="1" applyFill="1" applyBorder="1" applyAlignment="1" applyProtection="1"/>
    <xf numFmtId="0" fontId="20" fillId="5" borderId="194" xfId="7" applyFont="1" applyFill="1" applyBorder="1" applyAlignment="1" applyProtection="1">
      <alignment horizontal="center" vertical="center" wrapText="1"/>
    </xf>
    <xf numFmtId="10" fontId="20" fillId="0" borderId="0" xfId="10" applyNumberFormat="1" applyFont="1" applyAlignment="1" applyProtection="1">
      <alignment vertical="center"/>
    </xf>
    <xf numFmtId="9" fontId="20" fillId="5" borderId="167" xfId="7" applyNumberFormat="1" applyFont="1" applyFill="1" applyBorder="1" applyAlignment="1" applyProtection="1">
      <alignment horizontal="center" vertical="center" wrapText="1"/>
    </xf>
    <xf numFmtId="0" fontId="20" fillId="5" borderId="153" xfId="7" applyFont="1" applyFill="1" applyBorder="1" applyAlignment="1" applyProtection="1">
      <alignment horizontal="center" vertical="center" wrapText="1"/>
    </xf>
    <xf numFmtId="0" fontId="20" fillId="5" borderId="175" xfId="7" applyFont="1" applyFill="1" applyBorder="1" applyAlignment="1" applyProtection="1">
      <alignment horizontal="center" vertical="center" wrapText="1"/>
    </xf>
    <xf numFmtId="0" fontId="20" fillId="5" borderId="195" xfId="7" applyFont="1" applyFill="1" applyBorder="1" applyAlignment="1" applyProtection="1">
      <alignment horizontal="center" vertical="center"/>
    </xf>
    <xf numFmtId="0" fontId="20" fillId="5" borderId="196" xfId="7" applyFont="1" applyFill="1" applyBorder="1" applyAlignment="1" applyProtection="1">
      <alignment horizontal="left" vertical="center"/>
    </xf>
    <xf numFmtId="0" fontId="20" fillId="5" borderId="3" xfId="8" applyFont="1" applyFill="1" applyBorder="1" applyAlignment="1" applyProtection="1">
      <alignment horizontal="center" vertical="center" wrapText="1"/>
    </xf>
    <xf numFmtId="0" fontId="1" fillId="5" borderId="193" xfId="7" applyFont="1" applyFill="1" applyBorder="1" applyAlignment="1" applyProtection="1">
      <alignment horizontal="center" vertical="center" wrapText="1"/>
    </xf>
    <xf numFmtId="0" fontId="25" fillId="0" borderId="0" xfId="7" applyFont="1" applyBorder="1" applyAlignment="1" applyProtection="1">
      <alignment vertical="center"/>
    </xf>
    <xf numFmtId="0" fontId="1" fillId="5" borderId="182" xfId="7" applyFont="1" applyFill="1" applyBorder="1" applyAlignment="1" applyProtection="1">
      <alignment horizontal="center" vertical="center" wrapText="1"/>
    </xf>
    <xf numFmtId="0" fontId="1" fillId="5" borderId="54" xfId="7" applyFont="1" applyFill="1" applyBorder="1" applyAlignment="1" applyProtection="1">
      <alignment vertical="center" wrapText="1"/>
    </xf>
    <xf numFmtId="0" fontId="1" fillId="4" borderId="66" xfId="6" applyFill="1" applyBorder="1" applyAlignment="1" applyProtection="1">
      <alignment horizontal="center" vertical="center" wrapText="1"/>
    </xf>
    <xf numFmtId="0" fontId="0" fillId="0" borderId="0" xfId="0" quotePrefix="1"/>
    <xf numFmtId="0" fontId="1" fillId="5" borderId="17" xfId="6" applyFill="1" applyBorder="1" applyProtection="1"/>
    <xf numFmtId="0" fontId="27" fillId="0" borderId="0" xfId="6" applyFont="1" applyBorder="1" applyAlignment="1" applyProtection="1">
      <alignment vertical="center" wrapText="1"/>
    </xf>
    <xf numFmtId="0" fontId="20" fillId="5" borderId="197" xfId="7" applyFont="1" applyFill="1" applyBorder="1" applyAlignment="1" applyProtection="1">
      <alignment horizontal="center" vertical="center"/>
    </xf>
    <xf numFmtId="0" fontId="1" fillId="5" borderId="198" xfId="8" applyFont="1" applyFill="1" applyBorder="1" applyAlignment="1" applyProtection="1">
      <alignment vertical="center"/>
    </xf>
    <xf numFmtId="0" fontId="20" fillId="5" borderId="182" xfId="7" applyFont="1" applyFill="1" applyBorder="1" applyAlignment="1" applyProtection="1">
      <alignment horizontal="center" vertical="center" wrapText="1"/>
    </xf>
    <xf numFmtId="0" fontId="20" fillId="5" borderId="199" xfId="7" applyFont="1" applyFill="1" applyBorder="1" applyAlignment="1" applyProtection="1">
      <alignment horizontal="center" vertical="center"/>
    </xf>
    <xf numFmtId="0" fontId="20" fillId="5" borderId="142" xfId="7" applyFont="1" applyFill="1" applyBorder="1" applyAlignment="1" applyProtection="1">
      <alignment horizontal="left" vertical="center" wrapText="1" indent="1"/>
    </xf>
    <xf numFmtId="0" fontId="20" fillId="5" borderId="197" xfId="7" applyFont="1" applyFill="1" applyBorder="1" applyAlignment="1" applyProtection="1">
      <alignment horizontal="center" vertical="center" wrapText="1"/>
    </xf>
    <xf numFmtId="0" fontId="20" fillId="5" borderId="185" xfId="7" applyFont="1" applyFill="1" applyBorder="1" applyAlignment="1" applyProtection="1">
      <alignment horizontal="left" vertical="center" wrapText="1" indent="1"/>
    </xf>
    <xf numFmtId="0" fontId="20" fillId="5" borderId="200" xfId="7" applyFont="1" applyFill="1" applyBorder="1" applyAlignment="1" applyProtection="1">
      <alignment horizontal="center" vertical="center" wrapText="1"/>
    </xf>
    <xf numFmtId="0" fontId="20" fillId="5" borderId="175" xfId="7" applyFont="1" applyFill="1" applyBorder="1" applyAlignment="1" applyProtection="1">
      <alignment horizontal="left" vertical="center" wrapText="1" indent="1"/>
    </xf>
    <xf numFmtId="0" fontId="20" fillId="5" borderId="163" xfId="7" quotePrefix="1" applyFont="1" applyFill="1" applyBorder="1" applyAlignment="1" applyProtection="1">
      <alignment horizontal="center" vertical="center"/>
    </xf>
    <xf numFmtId="0" fontId="20" fillId="5" borderId="201" xfId="7" applyFont="1" applyFill="1" applyBorder="1" applyAlignment="1" applyProtection="1">
      <alignment horizontal="center" vertical="center"/>
    </xf>
    <xf numFmtId="0" fontId="20" fillId="5" borderId="202" xfId="7" applyFont="1" applyFill="1" applyBorder="1" applyAlignment="1" applyProtection="1">
      <alignment horizontal="center" vertical="center"/>
    </xf>
    <xf numFmtId="0" fontId="20" fillId="5" borderId="67" xfId="7" applyFont="1" applyFill="1" applyBorder="1" applyAlignment="1" applyProtection="1">
      <alignment horizontal="center" vertical="center"/>
    </xf>
    <xf numFmtId="0" fontId="20" fillId="5" borderId="68" xfId="7" applyFont="1" applyFill="1" applyBorder="1" applyAlignment="1" applyProtection="1">
      <alignment horizontal="center" vertical="center" wrapText="1"/>
    </xf>
    <xf numFmtId="0" fontId="20" fillId="5" borderId="203" xfId="7" applyFont="1" applyFill="1" applyBorder="1" applyAlignment="1" applyProtection="1">
      <alignment vertical="center"/>
    </xf>
    <xf numFmtId="0" fontId="20" fillId="5" borderId="2" xfId="7" applyFont="1" applyFill="1" applyBorder="1" applyAlignment="1" applyProtection="1">
      <alignment vertical="center"/>
    </xf>
    <xf numFmtId="0" fontId="20" fillId="5" borderId="69" xfId="7" applyFont="1" applyFill="1" applyBorder="1" applyAlignment="1" applyProtection="1">
      <alignment vertical="center"/>
    </xf>
    <xf numFmtId="0" fontId="20" fillId="0" borderId="0" xfId="7" applyFont="1" applyAlignment="1" applyProtection="1">
      <alignment horizontal="left" vertical="center"/>
    </xf>
    <xf numFmtId="0" fontId="2" fillId="0" borderId="13" xfId="3" applyBorder="1" applyAlignment="1" applyProtection="1">
      <alignment horizontal="left" vertical="center"/>
    </xf>
    <xf numFmtId="0" fontId="1" fillId="10" borderId="157" xfId="7" applyFont="1" applyFill="1" applyBorder="1" applyAlignment="1" applyProtection="1">
      <alignment horizontal="center" vertical="center" wrapText="1"/>
    </xf>
    <xf numFmtId="0" fontId="1" fillId="8" borderId="3" xfId="7" applyFont="1" applyFill="1" applyBorder="1" applyAlignment="1" applyProtection="1">
      <alignment horizontal="center" vertical="center" wrapText="1"/>
    </xf>
    <xf numFmtId="0" fontId="1" fillId="8" borderId="156" xfId="7" applyFont="1" applyFill="1" applyBorder="1" applyAlignment="1" applyProtection="1">
      <alignment horizontal="center" vertical="center" wrapText="1"/>
    </xf>
    <xf numFmtId="0" fontId="26" fillId="0" borderId="0" xfId="7" applyFont="1" applyAlignment="1" applyProtection="1">
      <alignment horizontal="center" vertical="center"/>
    </xf>
    <xf numFmtId="0" fontId="1" fillId="5" borderId="149" xfId="7" applyFont="1" applyFill="1" applyBorder="1" applyAlignment="1" applyProtection="1">
      <alignment horizontal="center" vertical="center"/>
    </xf>
    <xf numFmtId="0" fontId="28" fillId="0" borderId="3" xfId="7" applyFont="1" applyFill="1" applyBorder="1" applyAlignment="1" applyProtection="1">
      <alignment horizontal="center" vertical="center"/>
    </xf>
    <xf numFmtId="0" fontId="1" fillId="7" borderId="3" xfId="6" applyFont="1" applyFill="1" applyBorder="1" applyAlignment="1" applyProtection="1">
      <alignment horizontal="center" vertical="center" wrapText="1"/>
    </xf>
    <xf numFmtId="0" fontId="1" fillId="7" borderId="204" xfId="6" applyFont="1" applyFill="1" applyBorder="1" applyAlignment="1" applyProtection="1">
      <alignment horizontal="center" vertical="center" wrapText="1"/>
    </xf>
    <xf numFmtId="0" fontId="20" fillId="7" borderId="140" xfId="7" applyFont="1" applyFill="1" applyBorder="1" applyAlignment="1" applyProtection="1">
      <alignment vertical="center" wrapText="1"/>
    </xf>
    <xf numFmtId="0" fontId="20" fillId="7" borderId="70" xfId="7" applyFont="1" applyFill="1" applyBorder="1" applyAlignment="1" applyProtection="1">
      <alignment vertical="center" wrapText="1"/>
    </xf>
    <xf numFmtId="0" fontId="20" fillId="7" borderId="198" xfId="7" applyFont="1" applyFill="1" applyBorder="1" applyAlignment="1" applyProtection="1">
      <alignment vertical="center" wrapText="1"/>
    </xf>
    <xf numFmtId="0" fontId="20" fillId="7" borderId="64" xfId="7" applyFont="1" applyFill="1" applyBorder="1" applyAlignment="1" applyProtection="1">
      <alignment vertical="center" wrapText="1"/>
    </xf>
    <xf numFmtId="0" fontId="1" fillId="5" borderId="71" xfId="7" applyFont="1" applyFill="1" applyBorder="1" applyAlignment="1" applyProtection="1">
      <alignment horizontal="left" vertical="center" wrapText="1"/>
    </xf>
    <xf numFmtId="0" fontId="1" fillId="0" borderId="0" xfId="7" applyFont="1" applyProtection="1"/>
    <xf numFmtId="0" fontId="1" fillId="5" borderId="205" xfId="7" applyFont="1" applyFill="1" applyBorder="1" applyAlignment="1" applyProtection="1">
      <alignment horizontal="left" vertical="center" wrapText="1"/>
    </xf>
    <xf numFmtId="0" fontId="1" fillId="0" borderId="0" xfId="6" applyFill="1" applyProtection="1"/>
    <xf numFmtId="0" fontId="20" fillId="5" borderId="201" xfId="7" applyFont="1" applyFill="1" applyBorder="1" applyAlignment="1" applyProtection="1">
      <alignment horizontal="center" vertical="center" wrapText="1"/>
    </xf>
    <xf numFmtId="0" fontId="20" fillId="7" borderId="176" xfId="7" applyFont="1" applyFill="1" applyBorder="1" applyAlignment="1" applyProtection="1">
      <alignment horizontal="center" vertical="center" wrapText="1"/>
    </xf>
    <xf numFmtId="0" fontId="20" fillId="5" borderId="0" xfId="7" applyFont="1" applyFill="1" applyBorder="1" applyAlignment="1" applyProtection="1">
      <alignment horizontal="left" vertical="center"/>
    </xf>
    <xf numFmtId="0" fontId="20" fillId="5" borderId="163" xfId="7" applyFont="1" applyFill="1" applyBorder="1" applyAlignment="1" applyProtection="1">
      <alignment horizontal="center" vertical="center" wrapText="1"/>
    </xf>
    <xf numFmtId="0" fontId="20" fillId="5" borderId="206" xfId="7" applyFont="1" applyFill="1" applyBorder="1" applyAlignment="1" applyProtection="1">
      <alignment horizontal="center" vertical="center" wrapText="1"/>
    </xf>
    <xf numFmtId="0" fontId="20" fillId="5" borderId="175" xfId="7" applyFont="1" applyFill="1" applyBorder="1" applyAlignment="1" applyProtection="1">
      <alignment horizontal="left" vertical="center" wrapText="1"/>
    </xf>
    <xf numFmtId="0" fontId="20" fillId="5" borderId="148" xfId="7" applyFont="1" applyFill="1" applyBorder="1" applyAlignment="1" applyProtection="1">
      <alignment horizontal="left" vertical="center" wrapText="1"/>
    </xf>
    <xf numFmtId="0" fontId="1" fillId="5" borderId="207" xfId="8" applyFont="1" applyFill="1" applyBorder="1" applyAlignment="1" applyProtection="1">
      <alignment horizontal="left" vertical="center"/>
    </xf>
    <xf numFmtId="0" fontId="1" fillId="5" borderId="175" xfId="8" applyFont="1" applyFill="1" applyBorder="1" applyAlignment="1" applyProtection="1">
      <alignment horizontal="left" vertical="center"/>
    </xf>
    <xf numFmtId="0" fontId="1" fillId="5" borderId="208" xfId="9" applyFont="1" applyFill="1" applyBorder="1" applyAlignment="1" applyProtection="1">
      <alignment horizontal="left" vertical="center" wrapText="1"/>
    </xf>
    <xf numFmtId="0" fontId="1" fillId="5" borderId="208" xfId="9" applyFont="1" applyFill="1" applyBorder="1" applyAlignment="1" applyProtection="1">
      <alignment horizontal="center" vertical="center" wrapText="1"/>
    </xf>
    <xf numFmtId="0" fontId="1" fillId="5" borderId="0" xfId="9" applyFont="1" applyFill="1" applyBorder="1" applyAlignment="1" applyProtection="1">
      <alignment horizontal="center" vertical="center" wrapText="1"/>
    </xf>
    <xf numFmtId="0" fontId="1" fillId="5" borderId="185" xfId="9" applyFont="1" applyFill="1" applyBorder="1" applyAlignment="1" applyProtection="1">
      <alignment horizontal="center" vertical="center" wrapText="1"/>
    </xf>
    <xf numFmtId="0" fontId="20" fillId="7" borderId="176" xfId="7" applyFont="1" applyFill="1" applyBorder="1" applyAlignment="1" applyProtection="1">
      <alignment horizontal="center" vertical="center"/>
    </xf>
    <xf numFmtId="0" fontId="20" fillId="5" borderId="140" xfId="7" applyFont="1" applyFill="1" applyBorder="1" applyAlignment="1" applyProtection="1">
      <alignment horizontal="center" vertical="center" wrapText="1"/>
    </xf>
    <xf numFmtId="0" fontId="20" fillId="5" borderId="185" xfId="7" applyFont="1" applyFill="1" applyBorder="1" applyAlignment="1" applyProtection="1">
      <alignment horizontal="center" vertical="center"/>
    </xf>
    <xf numFmtId="0" fontId="20" fillId="5" borderId="175" xfId="7" applyFont="1" applyFill="1" applyBorder="1" applyAlignment="1" applyProtection="1">
      <alignment horizontal="center" vertical="center"/>
    </xf>
    <xf numFmtId="0" fontId="20" fillId="5" borderId="148" xfId="7" applyFont="1" applyFill="1" applyBorder="1" applyAlignment="1" applyProtection="1">
      <alignment horizontal="center" vertical="center"/>
    </xf>
    <xf numFmtId="0" fontId="20" fillId="5" borderId="167" xfId="7" applyFont="1" applyFill="1" applyBorder="1" applyAlignment="1" applyProtection="1">
      <alignment horizontal="center" vertical="center"/>
    </xf>
    <xf numFmtId="0" fontId="20" fillId="5" borderId="144" xfId="7" applyFont="1" applyFill="1" applyBorder="1" applyAlignment="1" applyProtection="1">
      <alignment horizontal="center" vertical="center"/>
    </xf>
    <xf numFmtId="0" fontId="20" fillId="5" borderId="141" xfId="7" applyFont="1" applyFill="1" applyBorder="1" applyAlignment="1" applyProtection="1">
      <alignment horizontal="center" vertical="center" wrapText="1"/>
    </xf>
    <xf numFmtId="0" fontId="20" fillId="5" borderId="167" xfId="7" applyFont="1" applyFill="1" applyBorder="1" applyAlignment="1" applyProtection="1">
      <alignment horizontal="center" vertical="center" wrapText="1"/>
    </xf>
    <xf numFmtId="0" fontId="20" fillId="5" borderId="185" xfId="7" applyFont="1" applyFill="1" applyBorder="1" applyAlignment="1" applyProtection="1">
      <alignment horizontal="center" vertical="center" wrapText="1"/>
    </xf>
    <xf numFmtId="0" fontId="20" fillId="5" borderId="178" xfId="7" applyFont="1" applyFill="1" applyBorder="1" applyAlignment="1" applyProtection="1">
      <alignment horizontal="center" vertical="center" wrapText="1"/>
    </xf>
    <xf numFmtId="0" fontId="20" fillId="5" borderId="140" xfId="7" applyFont="1" applyFill="1" applyBorder="1" applyAlignment="1" applyProtection="1">
      <alignment horizontal="left" vertical="center"/>
    </xf>
    <xf numFmtId="0" fontId="20" fillId="5" borderId="142" xfId="7" applyFont="1" applyFill="1" applyBorder="1" applyAlignment="1" applyProtection="1">
      <alignment horizontal="center" vertical="center"/>
    </xf>
    <xf numFmtId="0" fontId="20" fillId="5" borderId="170" xfId="7" applyFont="1" applyFill="1" applyBorder="1" applyAlignment="1" applyProtection="1">
      <alignment horizontal="center" vertical="center" wrapText="1"/>
    </xf>
    <xf numFmtId="0" fontId="20" fillId="5" borderId="0" xfId="7" applyFont="1" applyFill="1" applyBorder="1" applyAlignment="1" applyProtection="1">
      <alignment horizontal="center" vertical="center"/>
    </xf>
    <xf numFmtId="0" fontId="20" fillId="5" borderId="209" xfId="7" applyFont="1" applyFill="1" applyBorder="1" applyAlignment="1" applyProtection="1">
      <alignment horizontal="center" vertical="center"/>
    </xf>
    <xf numFmtId="0" fontId="20" fillId="5" borderId="198" xfId="7" applyFont="1" applyFill="1" applyBorder="1" applyAlignment="1" applyProtection="1">
      <alignment horizontal="center" vertical="center" wrapText="1"/>
    </xf>
    <xf numFmtId="0" fontId="20" fillId="5" borderId="2" xfId="7" applyFont="1" applyFill="1" applyBorder="1" applyAlignment="1" applyProtection="1">
      <alignment horizontal="center" vertical="center"/>
    </xf>
    <xf numFmtId="0" fontId="1" fillId="5" borderId="48" xfId="6" applyFill="1" applyBorder="1" applyAlignment="1" applyProtection="1">
      <alignment horizontal="center"/>
    </xf>
    <xf numFmtId="0" fontId="1" fillId="5" borderId="11" xfId="6" applyFill="1" applyBorder="1" applyAlignment="1" applyProtection="1">
      <alignment horizontal="center" vertical="center"/>
    </xf>
    <xf numFmtId="0" fontId="1" fillId="5" borderId="26" xfId="6" applyFill="1" applyBorder="1" applyAlignment="1" applyProtection="1">
      <alignment horizontal="right" vertical="center"/>
    </xf>
    <xf numFmtId="0" fontId="1" fillId="5" borderId="42" xfId="6" applyFill="1" applyBorder="1" applyAlignment="1" applyProtection="1">
      <alignment horizontal="center" vertical="center"/>
    </xf>
    <xf numFmtId="0" fontId="1" fillId="5" borderId="39" xfId="6" applyFill="1" applyBorder="1" applyAlignment="1" applyProtection="1">
      <alignment horizontal="center" vertical="center"/>
    </xf>
    <xf numFmtId="49" fontId="31" fillId="5" borderId="7" xfId="7" applyNumberFormat="1" applyFont="1" applyFill="1" applyBorder="1" applyAlignment="1" applyProtection="1">
      <alignment horizontal="left" vertical="center"/>
    </xf>
    <xf numFmtId="0" fontId="20" fillId="7" borderId="7" xfId="7" applyFont="1" applyFill="1" applyBorder="1" applyAlignment="1" applyProtection="1">
      <alignment horizontal="center" vertical="center"/>
    </xf>
    <xf numFmtId="0" fontId="1" fillId="5" borderId="2" xfId="8" applyFont="1" applyFill="1" applyBorder="1" applyAlignment="1" applyProtection="1">
      <alignment horizontal="left" vertical="center"/>
    </xf>
    <xf numFmtId="0" fontId="20" fillId="5" borderId="185" xfId="8" applyFont="1" applyFill="1" applyBorder="1" applyAlignment="1" applyProtection="1">
      <alignment horizontal="center" vertical="center" wrapText="1"/>
    </xf>
    <xf numFmtId="0" fontId="20" fillId="5" borderId="163" xfId="8" applyFont="1" applyFill="1" applyBorder="1" applyAlignment="1" applyProtection="1">
      <alignment horizontal="center" vertical="center" wrapText="1"/>
    </xf>
    <xf numFmtId="0" fontId="20" fillId="0" borderId="0" xfId="7" applyFont="1" applyAlignment="1" applyProtection="1">
      <alignment horizontal="center"/>
    </xf>
    <xf numFmtId="0" fontId="2" fillId="5" borderId="3" xfId="3" applyFill="1" applyBorder="1" applyAlignment="1" applyProtection="1">
      <alignment horizontal="left" vertical="top" wrapText="1"/>
    </xf>
    <xf numFmtId="0" fontId="2" fillId="5" borderId="0" xfId="3" applyFill="1" applyBorder="1" applyAlignment="1" applyProtection="1">
      <alignment horizontal="left" vertical="top" wrapText="1"/>
    </xf>
    <xf numFmtId="0" fontId="2" fillId="5" borderId="8" xfId="3" applyFill="1" applyBorder="1" applyAlignment="1" applyProtection="1">
      <alignment horizontal="left" vertical="top" wrapText="1"/>
    </xf>
    <xf numFmtId="0" fontId="20" fillId="5" borderId="148" xfId="7" applyFont="1" applyFill="1" applyBorder="1" applyAlignment="1" applyProtection="1">
      <alignment horizontal="left" vertical="center"/>
    </xf>
    <xf numFmtId="0" fontId="20" fillId="5" borderId="210" xfId="7" applyFont="1" applyFill="1" applyBorder="1" applyAlignment="1" applyProtection="1">
      <alignment horizontal="left" vertical="center"/>
    </xf>
    <xf numFmtId="0" fontId="20" fillId="5" borderId="192" xfId="7" applyFont="1" applyFill="1" applyBorder="1" applyAlignment="1" applyProtection="1">
      <alignment horizontal="left" vertical="center"/>
    </xf>
    <xf numFmtId="0" fontId="20" fillId="5" borderId="211" xfId="7" applyFont="1" applyFill="1" applyBorder="1" applyAlignment="1" applyProtection="1">
      <alignment horizontal="left" vertical="center"/>
    </xf>
    <xf numFmtId="0" fontId="20" fillId="7" borderId="162" xfId="7" applyFont="1" applyFill="1" applyBorder="1" applyAlignment="1" applyProtection="1">
      <alignment horizontal="center" vertical="center"/>
    </xf>
    <xf numFmtId="0" fontId="20" fillId="5" borderId="0" xfId="7" applyFont="1" applyFill="1" applyBorder="1" applyAlignment="1" applyProtection="1">
      <alignment horizontal="center" vertical="center" wrapText="1"/>
    </xf>
    <xf numFmtId="0" fontId="20" fillId="5" borderId="183" xfId="7" applyFont="1" applyFill="1" applyBorder="1" applyAlignment="1" applyProtection="1">
      <alignment horizontal="left" vertical="center"/>
    </xf>
    <xf numFmtId="0" fontId="20" fillId="5" borderId="167" xfId="7" applyFont="1" applyFill="1" applyBorder="1" applyAlignment="1" applyProtection="1">
      <alignment horizontal="center" vertical="center" wrapText="1"/>
    </xf>
    <xf numFmtId="0" fontId="20" fillId="5" borderId="144" xfId="7" applyFont="1" applyFill="1" applyBorder="1" applyAlignment="1" applyProtection="1">
      <alignment horizontal="center" vertical="center" wrapText="1"/>
    </xf>
    <xf numFmtId="0" fontId="20" fillId="5" borderId="0" xfId="7" applyFont="1" applyFill="1" applyBorder="1" applyAlignment="1" applyProtection="1">
      <alignment horizontal="center" vertical="center"/>
    </xf>
    <xf numFmtId="0" fontId="0" fillId="4" borderId="0" xfId="0" applyFill="1" applyProtection="1"/>
    <xf numFmtId="0" fontId="0" fillId="4" borderId="3" xfId="0" applyFill="1" applyBorder="1" applyProtection="1"/>
    <xf numFmtId="0" fontId="1" fillId="11" borderId="156" xfId="6" applyFont="1" applyFill="1" applyBorder="1" applyAlignment="1" applyProtection="1">
      <alignment horizontal="center" vertical="center" wrapText="1"/>
    </xf>
    <xf numFmtId="0" fontId="0" fillId="4" borderId="0" xfId="0" applyFill="1" applyBorder="1" applyProtection="1"/>
    <xf numFmtId="0" fontId="20" fillId="5" borderId="174" xfId="7" applyFont="1" applyFill="1" applyBorder="1" applyAlignment="1" applyProtection="1">
      <alignment horizontal="center" vertical="center" wrapText="1"/>
    </xf>
    <xf numFmtId="0" fontId="20" fillId="0" borderId="0" xfId="0" applyFont="1" applyAlignment="1" applyProtection="1">
      <alignment vertical="center"/>
    </xf>
    <xf numFmtId="0" fontId="0" fillId="0" borderId="0" xfId="0" applyProtection="1"/>
    <xf numFmtId="0" fontId="20" fillId="5" borderId="0" xfId="0" applyFont="1" applyFill="1" applyBorder="1" applyAlignment="1" applyProtection="1">
      <alignment horizontal="center" vertical="center" wrapText="1"/>
    </xf>
    <xf numFmtId="0" fontId="20" fillId="5" borderId="185" xfId="0" applyFont="1" applyFill="1" applyBorder="1" applyAlignment="1" applyProtection="1">
      <alignment vertical="center" wrapText="1"/>
    </xf>
    <xf numFmtId="0" fontId="20" fillId="5" borderId="173" xfId="0" applyFont="1" applyFill="1" applyBorder="1" applyAlignment="1" applyProtection="1">
      <alignment vertical="center" wrapText="1"/>
    </xf>
    <xf numFmtId="0" fontId="20" fillId="0" borderId="0" xfId="0" applyFont="1" applyProtection="1"/>
    <xf numFmtId="0" fontId="32" fillId="0" borderId="0" xfId="0" applyFont="1" applyAlignment="1" applyProtection="1">
      <alignment vertical="center"/>
    </xf>
    <xf numFmtId="0" fontId="20" fillId="5" borderId="207" xfId="0" applyFont="1" applyFill="1" applyBorder="1" applyAlignment="1" applyProtection="1">
      <alignment vertical="center"/>
    </xf>
    <xf numFmtId="0" fontId="20" fillId="5" borderId="177" xfId="0" applyFont="1" applyFill="1" applyBorder="1" applyAlignment="1" applyProtection="1">
      <alignment vertical="center"/>
    </xf>
    <xf numFmtId="0" fontId="20" fillId="5" borderId="0" xfId="0" applyFont="1" applyFill="1" applyBorder="1" applyAlignment="1" applyProtection="1">
      <alignment vertical="center"/>
    </xf>
    <xf numFmtId="0" fontId="20" fillId="5" borderId="8" xfId="0" applyFont="1" applyFill="1" applyBorder="1" applyAlignment="1" applyProtection="1">
      <alignment vertical="center"/>
    </xf>
    <xf numFmtId="0" fontId="20" fillId="0" borderId="0" xfId="0" applyFont="1" applyBorder="1" applyProtection="1"/>
    <xf numFmtId="0" fontId="1" fillId="5" borderId="192" xfId="6" applyFont="1" applyFill="1" applyBorder="1" applyAlignment="1" applyProtection="1">
      <alignment vertical="center" wrapText="1"/>
    </xf>
    <xf numFmtId="0" fontId="1" fillId="5" borderId="0" xfId="6" applyFont="1" applyFill="1" applyBorder="1" applyAlignment="1" applyProtection="1">
      <alignment vertical="center" wrapText="1"/>
    </xf>
    <xf numFmtId="0" fontId="1" fillId="5" borderId="194" xfId="6" applyFont="1" applyFill="1" applyBorder="1" applyAlignment="1" applyProtection="1">
      <alignment horizontal="center" vertical="center" wrapText="1"/>
    </xf>
    <xf numFmtId="0" fontId="1" fillId="5" borderId="142" xfId="6" applyFont="1" applyFill="1" applyBorder="1" applyAlignment="1" applyProtection="1">
      <alignment horizontal="center" vertical="center" wrapText="1"/>
    </xf>
    <xf numFmtId="0" fontId="1" fillId="5" borderId="150" xfId="6" applyFont="1" applyFill="1" applyBorder="1" applyAlignment="1" applyProtection="1">
      <alignment horizontal="left" vertical="center" wrapText="1"/>
    </xf>
    <xf numFmtId="0" fontId="1" fillId="5" borderId="212" xfId="6" applyFont="1" applyFill="1" applyBorder="1" applyAlignment="1" applyProtection="1">
      <alignment horizontal="left" vertical="center" wrapText="1"/>
    </xf>
    <xf numFmtId="0" fontId="26" fillId="0" borderId="0" xfId="0" applyFont="1" applyProtection="1"/>
    <xf numFmtId="0" fontId="33" fillId="0" borderId="0" xfId="6" applyFont="1" applyProtection="1"/>
    <xf numFmtId="0" fontId="20" fillId="7" borderId="143" xfId="7" quotePrefix="1" applyFont="1" applyFill="1" applyBorder="1" applyAlignment="1" applyProtection="1">
      <alignment horizontal="center" vertical="center" wrapText="1"/>
    </xf>
    <xf numFmtId="0" fontId="1" fillId="5" borderId="48" xfId="6" applyFont="1" applyFill="1" applyBorder="1" applyAlignment="1" applyProtection="1">
      <alignment horizontal="center" vertical="center"/>
    </xf>
    <xf numFmtId="0" fontId="1" fillId="5" borderId="19" xfId="6" applyFont="1" applyFill="1" applyBorder="1" applyAlignment="1" applyProtection="1">
      <alignment horizontal="center" vertical="center"/>
    </xf>
    <xf numFmtId="49" fontId="1" fillId="5" borderId="41" xfId="6" applyNumberFormat="1" applyFont="1" applyFill="1" applyBorder="1" applyAlignment="1" applyProtection="1">
      <alignment horizontal="center" vertical="center"/>
    </xf>
    <xf numFmtId="0" fontId="0" fillId="0" borderId="3" xfId="0" applyBorder="1" applyProtection="1"/>
    <xf numFmtId="49" fontId="1" fillId="5" borderId="27" xfId="6" applyNumberFormat="1" applyFont="1" applyFill="1" applyBorder="1" applyAlignment="1" applyProtection="1">
      <alignment vertical="center"/>
    </xf>
    <xf numFmtId="0" fontId="1" fillId="5" borderId="65" xfId="6" applyNumberFormat="1" applyFont="1" applyFill="1" applyBorder="1" applyAlignment="1" applyProtection="1">
      <alignment horizontal="center" vertical="center"/>
    </xf>
    <xf numFmtId="0" fontId="1" fillId="5" borderId="21" xfId="6" applyNumberFormat="1" applyFont="1" applyFill="1" applyBorder="1" applyAlignment="1" applyProtection="1">
      <alignment horizontal="center" vertical="center"/>
    </xf>
    <xf numFmtId="0" fontId="1" fillId="5" borderId="213" xfId="6" applyNumberFormat="1" applyFont="1" applyFill="1" applyBorder="1" applyAlignment="1" applyProtection="1">
      <alignment horizontal="center" vertical="center"/>
    </xf>
    <xf numFmtId="0" fontId="1" fillId="5" borderId="214" xfId="6" applyNumberFormat="1" applyFont="1" applyFill="1" applyBorder="1" applyAlignment="1" applyProtection="1">
      <alignment horizontal="center" vertical="center"/>
    </xf>
    <xf numFmtId="0" fontId="1" fillId="5" borderId="34" xfId="6" applyFont="1" applyFill="1" applyBorder="1" applyAlignment="1" applyProtection="1">
      <alignment vertical="center"/>
    </xf>
    <xf numFmtId="0" fontId="1" fillId="5" borderId="215" xfId="6" applyNumberFormat="1" applyFont="1" applyFill="1" applyBorder="1" applyAlignment="1" applyProtection="1">
      <alignment horizontal="center" vertical="center"/>
    </xf>
    <xf numFmtId="0" fontId="1" fillId="5" borderId="216" xfId="6" applyFont="1" applyFill="1" applyBorder="1" applyAlignment="1" applyProtection="1">
      <alignment vertical="center"/>
    </xf>
    <xf numFmtId="49" fontId="1" fillId="5" borderId="42" xfId="6" applyNumberFormat="1" applyFont="1" applyFill="1" applyBorder="1" applyAlignment="1" applyProtection="1">
      <alignment vertical="center"/>
    </xf>
    <xf numFmtId="0" fontId="1" fillId="5" borderId="75" xfId="6" applyFont="1" applyFill="1" applyBorder="1" applyAlignment="1" applyProtection="1">
      <alignment horizontal="center" vertical="center" wrapText="1"/>
    </xf>
    <xf numFmtId="0" fontId="20" fillId="7" borderId="184" xfId="7" applyNumberFormat="1" applyFont="1" applyFill="1" applyBorder="1" applyAlignment="1" applyProtection="1">
      <alignment horizontal="center" vertical="center" wrapText="1"/>
    </xf>
    <xf numFmtId="0" fontId="20" fillId="7" borderId="140" xfId="7" applyNumberFormat="1" applyFont="1" applyFill="1" applyBorder="1" applyAlignment="1" applyProtection="1">
      <alignment horizontal="center" vertical="center" wrapText="1"/>
    </xf>
    <xf numFmtId="0" fontId="20" fillId="7" borderId="174" xfId="7" applyNumberFormat="1" applyFont="1" applyFill="1" applyBorder="1" applyAlignment="1" applyProtection="1">
      <alignment horizontal="center" vertical="center" wrapText="1"/>
    </xf>
    <xf numFmtId="0" fontId="20" fillId="7" borderId="173" xfId="7" applyNumberFormat="1" applyFont="1" applyFill="1" applyBorder="1" applyAlignment="1" applyProtection="1">
      <alignment horizontal="center" vertical="center" wrapText="1"/>
    </xf>
    <xf numFmtId="176" fontId="1" fillId="5" borderId="76" xfId="1" applyNumberFormat="1" applyFont="1" applyFill="1" applyBorder="1" applyAlignment="1" applyProtection="1">
      <alignment horizontal="center" vertical="center"/>
    </xf>
    <xf numFmtId="176" fontId="1" fillId="5" borderId="77" xfId="1" applyNumberFormat="1" applyFont="1" applyFill="1" applyBorder="1" applyAlignment="1" applyProtection="1">
      <alignment horizontal="center" vertical="center"/>
    </xf>
    <xf numFmtId="0" fontId="20" fillId="5" borderId="163" xfId="0" applyFont="1" applyFill="1" applyBorder="1" applyAlignment="1" applyProtection="1">
      <alignment horizontal="center" vertical="center" wrapText="1"/>
    </xf>
    <xf numFmtId="0" fontId="20" fillId="5" borderId="175" xfId="0" applyFont="1" applyFill="1" applyBorder="1" applyAlignment="1" applyProtection="1">
      <alignment horizontal="left" vertical="center" wrapText="1" indent="1"/>
    </xf>
    <xf numFmtId="0" fontId="20" fillId="5" borderId="197" xfId="0" applyFont="1" applyFill="1" applyBorder="1" applyAlignment="1" applyProtection="1">
      <alignment horizontal="left" vertical="center" wrapText="1" indent="1"/>
    </xf>
    <xf numFmtId="0" fontId="20" fillId="5" borderId="184" xfId="0" applyFont="1" applyFill="1" applyBorder="1" applyAlignment="1" applyProtection="1">
      <alignment horizontal="left" vertical="center" wrapText="1" indent="1"/>
    </xf>
    <xf numFmtId="0" fontId="20" fillId="5" borderId="192" xfId="0" applyFont="1" applyFill="1" applyBorder="1" applyAlignment="1" applyProtection="1">
      <alignment horizontal="left" vertical="center" wrapText="1" indent="1"/>
    </xf>
    <xf numFmtId="0" fontId="20" fillId="5" borderId="173" xfId="0" applyFont="1" applyFill="1" applyBorder="1" applyAlignment="1" applyProtection="1">
      <alignment horizontal="left" vertical="center" wrapText="1" indent="1"/>
    </xf>
    <xf numFmtId="0" fontId="20" fillId="5" borderId="217" xfId="0" applyFont="1" applyFill="1" applyBorder="1" applyAlignment="1" applyProtection="1">
      <alignment horizontal="left" vertical="center" wrapText="1" indent="1"/>
    </xf>
    <xf numFmtId="0" fontId="20" fillId="5" borderId="62" xfId="0" applyFont="1" applyFill="1" applyBorder="1" applyAlignment="1" applyProtection="1">
      <alignment horizontal="left" vertical="center" wrapText="1" indent="1"/>
    </xf>
    <xf numFmtId="0" fontId="1" fillId="10" borderId="172" xfId="7" applyFont="1" applyFill="1" applyBorder="1" applyAlignment="1" applyProtection="1">
      <alignment horizontal="center" vertical="center" wrapText="1"/>
    </xf>
    <xf numFmtId="0" fontId="1" fillId="10" borderId="218" xfId="7" applyFont="1" applyFill="1" applyBorder="1" applyAlignment="1" applyProtection="1">
      <alignment horizontal="center" vertical="center" wrapText="1"/>
    </xf>
    <xf numFmtId="0" fontId="1" fillId="10" borderId="219" xfId="7" applyFont="1" applyFill="1" applyBorder="1" applyAlignment="1" applyProtection="1">
      <alignment horizontal="center" vertical="center" wrapText="1"/>
    </xf>
    <xf numFmtId="0" fontId="1" fillId="10" borderId="164" xfId="7" applyFont="1" applyFill="1" applyBorder="1" applyAlignment="1" applyProtection="1">
      <alignment horizontal="center" vertical="center" wrapText="1"/>
    </xf>
    <xf numFmtId="0" fontId="1" fillId="0" borderId="0" xfId="7" applyFont="1" applyFill="1" applyBorder="1" applyProtection="1"/>
    <xf numFmtId="0" fontId="0" fillId="5" borderId="3" xfId="0" applyFill="1" applyBorder="1" applyAlignment="1" applyProtection="1">
      <alignment horizontal="center" vertical="center"/>
    </xf>
    <xf numFmtId="0" fontId="1" fillId="0" borderId="66" xfId="7" applyFont="1" applyFill="1" applyBorder="1" applyAlignment="1" applyProtection="1">
      <alignment horizontal="center" vertical="center" wrapText="1"/>
      <protection locked="0"/>
    </xf>
    <xf numFmtId="0" fontId="1" fillId="0" borderId="78" xfId="7" applyFont="1" applyFill="1" applyBorder="1" applyAlignment="1" applyProtection="1">
      <alignment horizontal="center" vertical="center" wrapText="1"/>
      <protection locked="0"/>
    </xf>
    <xf numFmtId="0" fontId="20" fillId="4" borderId="220" xfId="7" applyFont="1" applyFill="1" applyBorder="1" applyAlignment="1" applyProtection="1">
      <alignment horizontal="center" vertical="center" wrapText="1"/>
      <protection locked="0"/>
    </xf>
    <xf numFmtId="49" fontId="20" fillId="4" borderId="79" xfId="7" applyNumberFormat="1" applyFont="1" applyFill="1" applyBorder="1" applyAlignment="1" applyProtection="1">
      <alignment horizontal="center" vertical="center" wrapText="1"/>
      <protection locked="0"/>
    </xf>
    <xf numFmtId="9" fontId="20" fillId="4" borderId="66" xfId="10" applyFont="1" applyFill="1" applyBorder="1" applyAlignment="1" applyProtection="1">
      <alignment horizontal="center" vertical="center" wrapText="1"/>
      <protection locked="0"/>
    </xf>
    <xf numFmtId="9" fontId="20" fillId="4" borderId="80" xfId="10" applyFont="1" applyFill="1" applyBorder="1" applyAlignment="1" applyProtection="1">
      <alignment horizontal="center" vertical="center" wrapText="1"/>
      <protection locked="0"/>
    </xf>
    <xf numFmtId="9" fontId="1" fillId="0" borderId="66" xfId="7" applyNumberFormat="1" applyFont="1" applyFill="1" applyBorder="1" applyAlignment="1" applyProtection="1">
      <alignment horizontal="center" vertical="center" wrapText="1"/>
      <protection locked="0"/>
    </xf>
    <xf numFmtId="9" fontId="1" fillId="0" borderId="80" xfId="7" applyNumberFormat="1" applyFont="1" applyFill="1" applyBorder="1" applyAlignment="1" applyProtection="1">
      <alignment horizontal="center" vertical="center" wrapText="1"/>
      <protection locked="0"/>
    </xf>
    <xf numFmtId="9" fontId="1" fillId="0" borderId="66" xfId="10" applyFont="1" applyFill="1" applyBorder="1" applyAlignment="1" applyProtection="1">
      <alignment horizontal="center" vertical="center" wrapText="1"/>
      <protection locked="0"/>
    </xf>
    <xf numFmtId="9" fontId="1" fillId="0" borderId="80" xfId="10" applyFont="1" applyFill="1" applyBorder="1" applyAlignment="1" applyProtection="1">
      <alignment horizontal="center" vertical="center" wrapText="1"/>
      <protection locked="0"/>
    </xf>
    <xf numFmtId="9" fontId="1" fillId="0" borderId="78" xfId="10" applyFont="1" applyFill="1" applyBorder="1" applyAlignment="1" applyProtection="1">
      <alignment horizontal="center" vertical="center" wrapText="1"/>
      <protection locked="0"/>
    </xf>
    <xf numFmtId="9" fontId="1" fillId="0" borderId="81" xfId="10" applyFont="1" applyFill="1" applyBorder="1" applyAlignment="1" applyProtection="1">
      <alignment horizontal="center" vertical="center" wrapText="1"/>
      <protection locked="0"/>
    </xf>
    <xf numFmtId="9" fontId="1" fillId="0" borderId="77" xfId="10" applyFont="1" applyFill="1" applyBorder="1" applyAlignment="1" applyProtection="1">
      <alignment horizontal="center" vertical="center" wrapText="1"/>
      <protection locked="0"/>
    </xf>
    <xf numFmtId="0" fontId="1" fillId="0" borderId="82" xfId="6" applyBorder="1" applyAlignment="1" applyProtection="1">
      <alignment horizontal="center" vertical="center" wrapText="1"/>
      <protection locked="0"/>
    </xf>
    <xf numFmtId="0" fontId="1" fillId="0" borderId="66" xfId="6" applyBorder="1" applyAlignment="1" applyProtection="1">
      <alignment horizontal="center" vertical="center" wrapText="1"/>
      <protection locked="0"/>
    </xf>
    <xf numFmtId="0" fontId="1" fillId="0" borderId="63" xfId="6" applyBorder="1" applyAlignment="1" applyProtection="1">
      <alignment horizontal="center" vertical="center" wrapText="1"/>
      <protection locked="0"/>
    </xf>
    <xf numFmtId="0" fontId="1" fillId="0" borderId="78" xfId="6" applyBorder="1" applyAlignment="1" applyProtection="1">
      <alignment horizontal="left" vertical="center" wrapText="1"/>
      <protection locked="0"/>
    </xf>
    <xf numFmtId="0" fontId="1" fillId="4" borderId="66" xfId="6" applyFill="1" applyBorder="1" applyAlignment="1" applyProtection="1">
      <alignment horizontal="center" vertical="center" wrapText="1"/>
      <protection locked="0"/>
    </xf>
    <xf numFmtId="0" fontId="1" fillId="0" borderId="80" xfId="6" applyBorder="1" applyAlignment="1" applyProtection="1">
      <alignment horizontal="center" vertical="center" wrapText="1"/>
      <protection locked="0"/>
    </xf>
    <xf numFmtId="0" fontId="1" fillId="0" borderId="77" xfId="6" applyBorder="1" applyAlignment="1" applyProtection="1">
      <alignment horizontal="left" vertical="center" wrapText="1"/>
      <protection locked="0"/>
    </xf>
    <xf numFmtId="0" fontId="1" fillId="0" borderId="66" xfId="8" applyFont="1" applyFill="1" applyBorder="1" applyAlignment="1" applyProtection="1">
      <alignment horizontal="center" vertical="center"/>
      <protection locked="0"/>
    </xf>
    <xf numFmtId="0" fontId="1" fillId="0" borderId="83" xfId="8" applyFont="1" applyFill="1" applyBorder="1" applyAlignment="1" applyProtection="1">
      <alignment horizontal="center" vertical="center"/>
      <protection locked="0"/>
    </xf>
    <xf numFmtId="0" fontId="1" fillId="0" borderId="80" xfId="8" applyFont="1" applyFill="1" applyBorder="1" applyAlignment="1" applyProtection="1">
      <alignment horizontal="center" vertical="center"/>
      <protection locked="0"/>
    </xf>
    <xf numFmtId="49" fontId="1" fillId="5" borderId="12" xfId="8" applyNumberFormat="1" applyFont="1" applyFill="1" applyBorder="1" applyAlignment="1" applyProtection="1">
      <alignment horizontal="center" vertical="center"/>
      <protection locked="0"/>
    </xf>
    <xf numFmtId="0" fontId="1" fillId="4" borderId="63" xfId="8" applyFont="1" applyFill="1" applyBorder="1" applyAlignment="1" applyProtection="1">
      <alignment horizontal="center" vertical="center" wrapText="1"/>
      <protection locked="0"/>
    </xf>
    <xf numFmtId="0" fontId="1" fillId="2" borderId="66" xfId="8" applyFont="1" applyFill="1" applyBorder="1" applyAlignment="1" applyProtection="1">
      <alignment horizontal="center" vertical="center" wrapText="1"/>
      <protection locked="0"/>
    </xf>
    <xf numFmtId="0" fontId="1" fillId="0" borderId="78" xfId="8" applyFont="1" applyBorder="1" applyAlignment="1" applyProtection="1">
      <alignment horizontal="center" vertical="center" wrapText="1"/>
      <protection locked="0"/>
    </xf>
    <xf numFmtId="0" fontId="1" fillId="0" borderId="66" xfId="9" applyFont="1" applyFill="1" applyBorder="1" applyAlignment="1" applyProtection="1">
      <alignment horizontal="center" vertical="center" wrapText="1"/>
      <protection locked="0"/>
    </xf>
    <xf numFmtId="0" fontId="1" fillId="0" borderId="80" xfId="9" applyFont="1" applyFill="1" applyBorder="1" applyAlignment="1" applyProtection="1">
      <alignment horizontal="center" vertical="center" wrapText="1"/>
      <protection locked="0"/>
    </xf>
    <xf numFmtId="0" fontId="1" fillId="0" borderId="66" xfId="9" applyFont="1" applyFill="1" applyBorder="1" applyAlignment="1" applyProtection="1">
      <alignment vertical="center" wrapText="1"/>
      <protection locked="0"/>
    </xf>
    <xf numFmtId="0" fontId="1" fillId="0" borderId="80" xfId="9" applyFont="1" applyFill="1" applyBorder="1" applyAlignment="1" applyProtection="1">
      <alignment vertical="center" wrapText="1"/>
      <protection locked="0"/>
    </xf>
    <xf numFmtId="0" fontId="20" fillId="4" borderId="63" xfId="0" applyFont="1" applyFill="1" applyBorder="1" applyAlignment="1" applyProtection="1">
      <alignment horizontal="center" vertical="center" wrapText="1"/>
      <protection locked="0"/>
    </xf>
    <xf numFmtId="0" fontId="20" fillId="4" borderId="66" xfId="0" applyFont="1" applyFill="1" applyBorder="1" applyAlignment="1" applyProtection="1">
      <alignment horizontal="center" vertical="center" wrapText="1"/>
      <protection locked="0"/>
    </xf>
    <xf numFmtId="0" fontId="20" fillId="4" borderId="80" xfId="0" applyFont="1" applyFill="1" applyBorder="1" applyAlignment="1" applyProtection="1">
      <alignment horizontal="center" vertical="center" wrapText="1"/>
      <protection locked="0"/>
    </xf>
    <xf numFmtId="0" fontId="20" fillId="4" borderId="78" xfId="0" applyFont="1" applyFill="1" applyBorder="1" applyAlignment="1" applyProtection="1">
      <alignment horizontal="center" vertical="center" wrapText="1"/>
      <protection locked="0"/>
    </xf>
    <xf numFmtId="0" fontId="20" fillId="4" borderId="79" xfId="0" applyFont="1" applyFill="1" applyBorder="1" applyAlignment="1" applyProtection="1">
      <alignment horizontal="center" vertical="center" wrapText="1"/>
      <protection locked="0"/>
    </xf>
    <xf numFmtId="0" fontId="1" fillId="4" borderId="84" xfId="3" applyFont="1" applyFill="1" applyBorder="1" applyAlignment="1" applyProtection="1">
      <alignment horizontal="center" vertical="center" wrapText="1"/>
      <protection locked="0"/>
    </xf>
    <xf numFmtId="0" fontId="10" fillId="4" borderId="66" xfId="6" applyFont="1" applyFill="1" applyBorder="1" applyAlignment="1" applyProtection="1">
      <alignment horizontal="center" vertical="center" wrapText="1"/>
      <protection locked="0"/>
    </xf>
    <xf numFmtId="0" fontId="10" fillId="4" borderId="78" xfId="6" applyFont="1" applyFill="1" applyBorder="1" applyAlignment="1" applyProtection="1">
      <alignment horizontal="center" vertical="center" wrapText="1"/>
      <protection locked="0"/>
    </xf>
    <xf numFmtId="0" fontId="10" fillId="4" borderId="85" xfId="6" applyFont="1" applyFill="1" applyBorder="1" applyAlignment="1" applyProtection="1">
      <alignment horizontal="center" vertical="center" wrapText="1"/>
      <protection locked="0"/>
    </xf>
    <xf numFmtId="0" fontId="10" fillId="4" borderId="81" xfId="6" applyFont="1" applyFill="1" applyBorder="1" applyAlignment="1" applyProtection="1">
      <alignment horizontal="center" vertical="center" wrapText="1"/>
      <protection locked="0"/>
    </xf>
    <xf numFmtId="0" fontId="1" fillId="0" borderId="86" xfId="6" applyFont="1" applyFill="1" applyBorder="1" applyAlignment="1" applyProtection="1">
      <alignment horizontal="center" vertical="center" wrapText="1"/>
      <protection locked="0"/>
    </xf>
    <xf numFmtId="0" fontId="20" fillId="0" borderId="10" xfId="7" applyFont="1" applyBorder="1" applyAlignment="1" applyProtection="1">
      <alignment horizontal="center" vertical="center" wrapText="1"/>
      <protection locked="0"/>
    </xf>
    <xf numFmtId="0" fontId="20" fillId="0" borderId="87" xfId="7" applyFont="1" applyFill="1" applyBorder="1" applyAlignment="1" applyProtection="1">
      <alignment horizontal="center" vertical="center" wrapText="1"/>
      <protection locked="0"/>
    </xf>
    <xf numFmtId="0" fontId="20" fillId="0" borderId="66" xfId="7" applyFont="1" applyFill="1" applyBorder="1" applyAlignment="1" applyProtection="1">
      <alignment horizontal="center" vertical="center" wrapText="1"/>
      <protection locked="0"/>
    </xf>
    <xf numFmtId="0" fontId="20" fillId="0" borderId="80" xfId="7" applyFont="1" applyFill="1" applyBorder="1" applyAlignment="1" applyProtection="1">
      <alignment horizontal="center" vertical="center" wrapText="1"/>
      <protection locked="0"/>
    </xf>
    <xf numFmtId="0" fontId="34" fillId="0" borderId="88" xfId="7" applyFont="1" applyFill="1" applyBorder="1" applyAlignment="1" applyProtection="1">
      <alignment horizontal="center" vertical="center" wrapText="1"/>
      <protection locked="0"/>
    </xf>
    <xf numFmtId="0" fontId="34" fillId="0" borderId="66" xfId="7" applyFont="1" applyFill="1" applyBorder="1" applyAlignment="1" applyProtection="1">
      <alignment horizontal="center" vertical="center" wrapText="1"/>
      <protection locked="0"/>
    </xf>
    <xf numFmtId="0" fontId="34" fillId="0" borderId="82" xfId="7" applyFont="1" applyFill="1" applyBorder="1" applyAlignment="1" applyProtection="1">
      <alignment horizontal="center" vertical="center" wrapText="1"/>
      <protection locked="0"/>
    </xf>
    <xf numFmtId="0" fontId="34" fillId="0" borderId="76" xfId="7" applyFont="1" applyFill="1" applyBorder="1" applyAlignment="1" applyProtection="1">
      <alignment horizontal="center" vertical="center" wrapText="1"/>
      <protection locked="0"/>
    </xf>
    <xf numFmtId="0" fontId="34" fillId="0" borderId="80" xfId="7" applyFont="1" applyFill="1" applyBorder="1" applyAlignment="1" applyProtection="1">
      <alignment horizontal="center" vertical="center" wrapText="1"/>
      <protection locked="0"/>
    </xf>
    <xf numFmtId="0" fontId="34" fillId="0" borderId="83" xfId="7" applyFont="1" applyFill="1" applyBorder="1" applyAlignment="1" applyProtection="1">
      <alignment horizontal="center" vertical="center" wrapText="1"/>
      <protection locked="0"/>
    </xf>
    <xf numFmtId="0" fontId="20" fillId="0" borderId="66" xfId="7" applyFont="1" applyBorder="1" applyAlignment="1" applyProtection="1">
      <alignment horizontal="center" vertical="center"/>
      <protection locked="0"/>
    </xf>
    <xf numFmtId="0" fontId="20" fillId="0" borderId="221" xfId="7" applyFont="1" applyBorder="1" applyAlignment="1" applyProtection="1">
      <alignment horizontal="center" vertical="center"/>
      <protection locked="0"/>
    </xf>
    <xf numFmtId="0" fontId="20" fillId="0" borderId="196" xfId="7" applyFont="1" applyBorder="1" applyAlignment="1" applyProtection="1">
      <alignment horizontal="center" vertical="center"/>
      <protection locked="0"/>
    </xf>
    <xf numFmtId="0" fontId="20" fillId="0" borderId="222" xfId="7" applyFont="1" applyBorder="1" applyAlignment="1" applyProtection="1">
      <alignment horizontal="center" vertical="center"/>
      <protection locked="0"/>
    </xf>
    <xf numFmtId="0" fontId="20" fillId="0" borderId="82" xfId="7" applyFont="1" applyBorder="1" applyAlignment="1" applyProtection="1">
      <alignment vertical="center"/>
      <protection locked="0"/>
    </xf>
    <xf numFmtId="0" fontId="20" fillId="0" borderId="83" xfId="7" applyFont="1" applyBorder="1" applyAlignment="1" applyProtection="1">
      <alignment vertical="center"/>
      <protection locked="0"/>
    </xf>
    <xf numFmtId="0" fontId="20" fillId="0" borderId="80" xfId="7" applyFont="1" applyBorder="1" applyAlignment="1" applyProtection="1">
      <alignment horizontal="center" vertical="center"/>
      <protection locked="0"/>
    </xf>
    <xf numFmtId="0" fontId="20" fillId="0" borderId="78" xfId="7" applyFont="1" applyBorder="1" applyAlignment="1" applyProtection="1">
      <alignment horizontal="center" vertical="center"/>
      <protection locked="0"/>
    </xf>
    <xf numFmtId="0" fontId="20" fillId="0" borderId="85" xfId="7" applyFont="1" applyBorder="1" applyAlignment="1" applyProtection="1">
      <alignment horizontal="center" vertical="center"/>
      <protection locked="0"/>
    </xf>
    <xf numFmtId="0" fontId="20" fillId="0" borderId="2" xfId="7" applyFont="1" applyBorder="1" applyAlignment="1" applyProtection="1">
      <alignment horizontal="center" vertical="center"/>
      <protection locked="0"/>
    </xf>
    <xf numFmtId="0" fontId="20" fillId="0" borderId="89" xfId="7" applyFont="1" applyBorder="1" applyAlignment="1" applyProtection="1">
      <alignment horizontal="center" vertical="center"/>
      <protection locked="0"/>
    </xf>
    <xf numFmtId="0" fontId="20" fillId="0" borderId="90" xfId="7" applyFont="1" applyBorder="1" applyAlignment="1" applyProtection="1">
      <alignment horizontal="center" vertical="center"/>
      <protection locked="0"/>
    </xf>
    <xf numFmtId="0" fontId="20" fillId="0" borderId="77" xfId="7" applyFont="1" applyBorder="1" applyAlignment="1" applyProtection="1">
      <alignment horizontal="center" vertical="center"/>
      <protection locked="0"/>
    </xf>
    <xf numFmtId="0" fontId="20" fillId="0" borderId="84" xfId="7" applyFont="1" applyBorder="1" applyAlignment="1" applyProtection="1">
      <alignment horizontal="center" vertical="center"/>
      <protection locked="0"/>
    </xf>
    <xf numFmtId="0" fontId="20" fillId="0" borderId="81" xfId="7" applyFont="1" applyBorder="1" applyAlignment="1" applyProtection="1">
      <alignment horizontal="center" vertical="center"/>
      <protection locked="0"/>
    </xf>
    <xf numFmtId="0" fontId="20" fillId="0" borderId="66" xfId="7" applyFont="1" applyFill="1" applyBorder="1" applyAlignment="1" applyProtection="1">
      <alignment horizontal="center" vertical="center"/>
      <protection locked="0"/>
    </xf>
    <xf numFmtId="0" fontId="20" fillId="0" borderId="78" xfId="7" applyFont="1" applyFill="1" applyBorder="1" applyAlignment="1" applyProtection="1">
      <alignment horizontal="center" vertical="center"/>
      <protection locked="0"/>
    </xf>
    <xf numFmtId="0" fontId="20" fillId="0" borderId="80" xfId="7" applyFont="1" applyFill="1" applyBorder="1" applyAlignment="1" applyProtection="1">
      <alignment horizontal="center" vertical="center"/>
      <protection locked="0"/>
    </xf>
    <xf numFmtId="0" fontId="20" fillId="0" borderId="71" xfId="7" applyFont="1" applyFill="1" applyBorder="1" applyAlignment="1" applyProtection="1">
      <alignment horizontal="center" vertical="center"/>
      <protection locked="0"/>
    </xf>
    <xf numFmtId="9" fontId="20" fillId="0" borderId="80" xfId="10" applyFont="1" applyBorder="1" applyAlignment="1" applyProtection="1">
      <alignment horizontal="center" vertical="center"/>
      <protection locked="0"/>
    </xf>
    <xf numFmtId="9" fontId="20" fillId="0" borderId="77" xfId="10" applyFont="1" applyBorder="1" applyAlignment="1" applyProtection="1">
      <alignment horizontal="center" vertical="center"/>
      <protection locked="0"/>
    </xf>
    <xf numFmtId="0" fontId="20" fillId="0" borderId="63" xfId="7" applyFont="1" applyFill="1" applyBorder="1" applyAlignment="1" applyProtection="1">
      <alignment horizontal="center" vertical="center"/>
      <protection locked="0"/>
    </xf>
    <xf numFmtId="0" fontId="20" fillId="0" borderId="91" xfId="7" applyFont="1" applyFill="1" applyBorder="1" applyAlignment="1" applyProtection="1">
      <alignment horizontal="center" vertical="center"/>
      <protection locked="0"/>
    </xf>
    <xf numFmtId="0" fontId="20" fillId="0" borderId="85" xfId="7" applyFont="1" applyFill="1" applyBorder="1" applyAlignment="1" applyProtection="1">
      <alignment horizontal="center" vertical="center"/>
      <protection locked="0"/>
    </xf>
    <xf numFmtId="0" fontId="20" fillId="0" borderId="86" xfId="7" applyFont="1" applyFill="1" applyBorder="1" applyAlignment="1" applyProtection="1">
      <alignment horizontal="center" vertical="center"/>
      <protection locked="0"/>
    </xf>
    <xf numFmtId="0" fontId="20" fillId="0" borderId="90" xfId="7" applyFont="1" applyFill="1" applyBorder="1" applyAlignment="1" applyProtection="1">
      <alignment horizontal="center" vertical="center"/>
      <protection locked="0"/>
    </xf>
    <xf numFmtId="0" fontId="20" fillId="0" borderId="81" xfId="7" applyFont="1" applyFill="1" applyBorder="1" applyAlignment="1" applyProtection="1">
      <alignment horizontal="center" vertical="center"/>
      <protection locked="0"/>
    </xf>
    <xf numFmtId="0" fontId="20" fillId="0" borderId="78" xfId="7" applyFont="1" applyFill="1" applyBorder="1" applyAlignment="1" applyProtection="1">
      <alignment horizontal="center" vertical="center" wrapText="1"/>
      <protection locked="0"/>
    </xf>
    <xf numFmtId="0" fontId="20" fillId="0" borderId="63" xfId="7" applyFont="1" applyFill="1" applyBorder="1" applyAlignment="1" applyProtection="1">
      <alignment horizontal="center" vertical="center" wrapText="1"/>
      <protection locked="0"/>
    </xf>
    <xf numFmtId="0" fontId="20" fillId="0" borderId="81" xfId="7" applyFont="1" applyFill="1" applyBorder="1" applyAlignment="1" applyProtection="1">
      <alignment horizontal="center" vertical="center" wrapText="1"/>
      <protection locked="0"/>
    </xf>
    <xf numFmtId="0" fontId="20" fillId="0" borderId="82" xfId="7" applyFont="1" applyFill="1" applyBorder="1" applyAlignment="1" applyProtection="1">
      <alignment horizontal="center" vertical="center"/>
      <protection locked="0"/>
    </xf>
    <xf numFmtId="0" fontId="20" fillId="0" borderId="92" xfId="7" applyFont="1" applyFill="1" applyBorder="1" applyAlignment="1" applyProtection="1">
      <alignment horizontal="center" vertical="center"/>
      <protection locked="0"/>
    </xf>
    <xf numFmtId="0" fontId="20" fillId="0" borderId="93" xfId="7" applyFont="1" applyBorder="1" applyAlignment="1" applyProtection="1">
      <alignment horizontal="center" vertical="center"/>
      <protection locked="0"/>
    </xf>
    <xf numFmtId="0" fontId="20" fillId="0" borderId="84" xfId="7" applyFont="1" applyFill="1" applyBorder="1" applyAlignment="1" applyProtection="1">
      <alignment horizontal="center" vertical="center" wrapText="1"/>
      <protection locked="0"/>
    </xf>
    <xf numFmtId="0" fontId="20" fillId="0" borderId="85" xfId="7" applyFont="1" applyFill="1" applyBorder="1" applyAlignment="1" applyProtection="1">
      <alignment horizontal="center" vertical="center" wrapText="1"/>
      <protection locked="0"/>
    </xf>
    <xf numFmtId="0" fontId="20" fillId="0" borderId="84" xfId="7" applyFont="1" applyFill="1" applyBorder="1" applyAlignment="1" applyProtection="1">
      <alignment horizontal="center" vertical="center"/>
      <protection locked="0"/>
    </xf>
    <xf numFmtId="0" fontId="20" fillId="0" borderId="8" xfId="7" applyFont="1" applyFill="1" applyBorder="1" applyAlignment="1" applyProtection="1">
      <alignment horizontal="center" vertical="center" wrapText="1"/>
      <protection locked="0"/>
    </xf>
    <xf numFmtId="0" fontId="20" fillId="0" borderId="6" xfId="7" applyFont="1" applyFill="1" applyBorder="1" applyAlignment="1" applyProtection="1">
      <alignment horizontal="center" vertical="center" wrapText="1"/>
      <protection locked="0"/>
    </xf>
    <xf numFmtId="0" fontId="20" fillId="0" borderId="77" xfId="7" applyFont="1" applyFill="1" applyBorder="1" applyAlignment="1" applyProtection="1">
      <alignment horizontal="center" vertical="center" wrapText="1"/>
      <protection locked="0"/>
    </xf>
    <xf numFmtId="176" fontId="1" fillId="0" borderId="94" xfId="1" applyNumberFormat="1" applyFont="1" applyBorder="1" applyAlignment="1" applyProtection="1">
      <alignment horizontal="center" vertical="center"/>
      <protection locked="0"/>
    </xf>
    <xf numFmtId="176" fontId="1" fillId="0" borderId="78" xfId="1" applyNumberFormat="1" applyFont="1" applyBorder="1" applyAlignment="1" applyProtection="1">
      <alignment horizontal="center" vertical="center"/>
      <protection locked="0"/>
    </xf>
    <xf numFmtId="9" fontId="1" fillId="0" borderId="76" xfId="10" applyFont="1" applyBorder="1" applyAlignment="1" applyProtection="1">
      <alignment horizontal="center" vertical="center"/>
      <protection locked="0"/>
    </xf>
    <xf numFmtId="9" fontId="1" fillId="0" borderId="77" xfId="10" applyFont="1" applyBorder="1" applyAlignment="1" applyProtection="1">
      <alignment horizontal="center" vertical="center"/>
      <protection locked="0"/>
    </xf>
    <xf numFmtId="176" fontId="1" fillId="0" borderId="63" xfId="1" applyNumberFormat="1" applyFont="1" applyBorder="1" applyAlignment="1" applyProtection="1">
      <alignment horizontal="center" vertical="center" wrapText="1"/>
      <protection locked="0"/>
    </xf>
    <xf numFmtId="176" fontId="1" fillId="0" borderId="78" xfId="1" applyNumberFormat="1" applyFont="1" applyBorder="1" applyAlignment="1" applyProtection="1">
      <alignment horizontal="center" vertical="center" wrapText="1"/>
      <protection locked="0"/>
    </xf>
    <xf numFmtId="176" fontId="1" fillId="0" borderId="86" xfId="1" applyNumberFormat="1" applyFont="1" applyBorder="1" applyAlignment="1" applyProtection="1">
      <alignment horizontal="center" vertical="center" wrapText="1"/>
      <protection locked="0"/>
    </xf>
    <xf numFmtId="176" fontId="1" fillId="0" borderId="77" xfId="1" applyNumberFormat="1" applyFont="1" applyBorder="1" applyAlignment="1" applyProtection="1">
      <alignment horizontal="center" vertical="center" wrapText="1"/>
      <protection locked="0"/>
    </xf>
    <xf numFmtId="176" fontId="1" fillId="0" borderId="66" xfId="1" applyNumberFormat="1" applyFont="1" applyBorder="1" applyAlignment="1" applyProtection="1">
      <alignment horizontal="right" vertical="center" wrapText="1"/>
      <protection locked="0"/>
    </xf>
    <xf numFmtId="176" fontId="1" fillId="0" borderId="78" xfId="1" applyNumberFormat="1" applyFont="1" applyBorder="1" applyAlignment="1" applyProtection="1">
      <alignment horizontal="right" vertical="center" wrapText="1"/>
      <protection locked="0"/>
    </xf>
    <xf numFmtId="176" fontId="1" fillId="0" borderId="80" xfId="1" applyNumberFormat="1" applyFont="1" applyBorder="1" applyAlignment="1" applyProtection="1">
      <alignment horizontal="right" vertical="center" wrapText="1"/>
      <protection locked="0"/>
    </xf>
    <xf numFmtId="176" fontId="1" fillId="0" borderId="77" xfId="1" applyNumberFormat="1" applyFont="1" applyBorder="1" applyAlignment="1" applyProtection="1">
      <alignment horizontal="right" vertical="center" wrapText="1"/>
      <protection locked="0"/>
    </xf>
    <xf numFmtId="0" fontId="1" fillId="4" borderId="9" xfId="6" applyFont="1" applyFill="1" applyBorder="1" applyAlignment="1" applyProtection="1">
      <alignment horizontal="center" vertical="center"/>
      <protection locked="0"/>
    </xf>
    <xf numFmtId="176" fontId="1" fillId="0" borderId="80" xfId="1" applyNumberFormat="1" applyFont="1" applyBorder="1" applyAlignment="1" applyProtection="1">
      <alignment horizontal="center" vertical="center" wrapText="1"/>
      <protection locked="0"/>
    </xf>
    <xf numFmtId="9" fontId="1" fillId="0" borderId="95" xfId="10" applyFont="1" applyBorder="1" applyAlignment="1" applyProtection="1">
      <alignment horizontal="center" vertical="center" wrapText="1"/>
      <protection locked="0"/>
    </xf>
    <xf numFmtId="9" fontId="1" fillId="0" borderId="96" xfId="10" applyFont="1" applyBorder="1" applyAlignment="1" applyProtection="1">
      <alignment horizontal="center" vertical="center" wrapText="1"/>
      <protection locked="0"/>
    </xf>
    <xf numFmtId="9" fontId="1" fillId="0" borderId="66" xfId="10" applyFont="1" applyBorder="1" applyAlignment="1" applyProtection="1">
      <alignment horizontal="center" vertical="center" wrapText="1"/>
      <protection locked="0"/>
    </xf>
    <xf numFmtId="9" fontId="1" fillId="0" borderId="78" xfId="10" applyFont="1" applyBorder="1" applyAlignment="1" applyProtection="1">
      <alignment horizontal="center" vertical="center" wrapText="1"/>
      <protection locked="0"/>
    </xf>
    <xf numFmtId="9" fontId="1" fillId="0" borderId="80" xfId="10" applyFont="1" applyBorder="1" applyAlignment="1" applyProtection="1">
      <alignment horizontal="center" vertical="center" wrapText="1"/>
      <protection locked="0"/>
    </xf>
    <xf numFmtId="9" fontId="1" fillId="0" borderId="77" xfId="10" applyFont="1" applyBorder="1" applyAlignment="1" applyProtection="1">
      <alignment horizontal="center" vertical="center" wrapText="1"/>
      <protection locked="0"/>
    </xf>
    <xf numFmtId="9" fontId="1" fillId="0" borderId="80" xfId="6" applyNumberFormat="1" applyBorder="1" applyAlignment="1" applyProtection="1">
      <alignment horizontal="center" vertical="center" wrapText="1"/>
      <protection locked="0"/>
    </xf>
    <xf numFmtId="9" fontId="1" fillId="0" borderId="77" xfId="6" applyNumberFormat="1" applyBorder="1" applyAlignment="1" applyProtection="1">
      <alignment horizontal="center" vertical="center" wrapText="1"/>
      <protection locked="0"/>
    </xf>
    <xf numFmtId="0" fontId="20" fillId="4" borderId="70" xfId="7" applyFont="1" applyFill="1" applyBorder="1" applyAlignment="1" applyProtection="1">
      <alignment horizontal="center" vertical="center"/>
      <protection locked="0"/>
    </xf>
    <xf numFmtId="0" fontId="20" fillId="4" borderId="85" xfId="7" applyFont="1" applyFill="1" applyBorder="1" applyAlignment="1" applyProtection="1">
      <alignment horizontal="center" vertical="center"/>
      <protection locked="0"/>
    </xf>
    <xf numFmtId="0" fontId="1" fillId="0" borderId="66" xfId="6" applyFont="1" applyBorder="1" applyAlignment="1" applyProtection="1">
      <alignment horizontal="left" vertical="center" wrapText="1"/>
      <protection locked="0"/>
    </xf>
    <xf numFmtId="0" fontId="1" fillId="0" borderId="62" xfId="6" applyFont="1" applyBorder="1" applyAlignment="1" applyProtection="1">
      <alignment horizontal="left" vertical="center" wrapText="1"/>
      <protection locked="0"/>
    </xf>
    <xf numFmtId="9" fontId="1" fillId="0" borderId="62" xfId="10" applyFont="1" applyBorder="1" applyAlignment="1" applyProtection="1">
      <alignment horizontal="center" vertical="center" wrapText="1"/>
      <protection locked="0"/>
    </xf>
    <xf numFmtId="9" fontId="1" fillId="0" borderId="79" xfId="10" applyFont="1" applyBorder="1" applyAlignment="1" applyProtection="1">
      <alignment horizontal="center" vertical="center" wrapText="1"/>
      <protection locked="0"/>
    </xf>
    <xf numFmtId="3" fontId="20" fillId="0" borderId="62" xfId="7" applyNumberFormat="1" applyFont="1" applyFill="1" applyBorder="1" applyAlignment="1" applyProtection="1">
      <alignment horizontal="center" vertical="center" wrapText="1"/>
      <protection locked="0"/>
    </xf>
    <xf numFmtId="3" fontId="20" fillId="0" borderId="77" xfId="7" applyNumberFormat="1" applyFont="1" applyFill="1" applyBorder="1" applyAlignment="1" applyProtection="1">
      <alignment horizontal="center" vertical="center" wrapText="1"/>
      <protection locked="0"/>
    </xf>
    <xf numFmtId="9" fontId="20" fillId="0" borderId="95" xfId="10" applyFont="1" applyBorder="1" applyAlignment="1" applyProtection="1">
      <alignment horizontal="center" vertical="center" wrapText="1"/>
      <protection locked="0"/>
    </xf>
    <xf numFmtId="9" fontId="20" fillId="0" borderId="96" xfId="10" applyFont="1" applyBorder="1" applyAlignment="1" applyProtection="1">
      <alignment horizontal="center" vertical="center" wrapText="1"/>
      <protection locked="0"/>
    </xf>
    <xf numFmtId="9" fontId="20" fillId="0" borderId="95" xfId="7" applyNumberFormat="1" applyFont="1" applyBorder="1" applyAlignment="1" applyProtection="1">
      <alignment horizontal="center" vertical="center" wrapText="1"/>
      <protection locked="0"/>
    </xf>
    <xf numFmtId="9" fontId="20" fillId="0" borderId="96" xfId="7" applyNumberFormat="1" applyFont="1" applyBorder="1" applyAlignment="1" applyProtection="1">
      <alignment horizontal="center" vertical="center" wrapText="1"/>
      <protection locked="0"/>
    </xf>
    <xf numFmtId="9" fontId="20" fillId="0" borderId="62" xfId="7" applyNumberFormat="1" applyFont="1" applyBorder="1" applyAlignment="1" applyProtection="1">
      <alignment horizontal="center" vertical="center" wrapText="1"/>
      <protection locked="0"/>
    </xf>
    <xf numFmtId="9" fontId="20" fillId="0" borderId="79" xfId="7" applyNumberFormat="1" applyFont="1" applyBorder="1" applyAlignment="1" applyProtection="1">
      <alignment horizontal="center" vertical="center" wrapText="1"/>
      <protection locked="0"/>
    </xf>
    <xf numFmtId="0" fontId="20" fillId="0" borderId="82" xfId="7" applyFont="1" applyFill="1" applyBorder="1" applyAlignment="1" applyProtection="1">
      <alignment horizontal="center" vertical="center" wrapText="1"/>
      <protection locked="0"/>
    </xf>
    <xf numFmtId="9" fontId="20" fillId="0" borderId="66" xfId="10" applyFont="1" applyBorder="1" applyAlignment="1" applyProtection="1">
      <alignment horizontal="center" vertical="center"/>
      <protection locked="0"/>
    </xf>
    <xf numFmtId="1" fontId="1" fillId="0" borderId="24" xfId="6" applyNumberFormat="1" applyFont="1" applyBorder="1" applyAlignment="1" applyProtection="1">
      <alignment horizontal="center" vertical="center" wrapText="1"/>
      <protection locked="0"/>
    </xf>
    <xf numFmtId="1" fontId="1" fillId="0" borderId="82" xfId="6" applyNumberFormat="1" applyFont="1" applyBorder="1" applyAlignment="1" applyProtection="1">
      <alignment horizontal="center" vertical="center" wrapText="1"/>
      <protection locked="0"/>
    </xf>
    <xf numFmtId="1" fontId="1" fillId="0" borderId="63" xfId="6" applyNumberFormat="1" applyFont="1" applyBorder="1" applyAlignment="1" applyProtection="1">
      <alignment horizontal="center" vertical="center" wrapText="1"/>
      <protection locked="0"/>
    </xf>
    <xf numFmtId="1" fontId="1" fillId="0" borderId="97" xfId="6" applyNumberFormat="1" applyFont="1" applyBorder="1" applyAlignment="1" applyProtection="1">
      <alignment horizontal="center" vertical="center" wrapText="1"/>
      <protection locked="0"/>
    </xf>
    <xf numFmtId="0" fontId="1" fillId="0" borderId="80" xfId="6" applyFont="1" applyFill="1" applyBorder="1" applyAlignment="1" applyProtection="1">
      <alignment horizontal="center" vertical="center" wrapText="1"/>
      <protection locked="0"/>
    </xf>
    <xf numFmtId="0" fontId="1" fillId="0" borderId="92" xfId="8" applyFont="1" applyFill="1" applyBorder="1" applyAlignment="1" applyProtection="1">
      <alignment horizontal="center" vertical="center"/>
      <protection locked="0"/>
    </xf>
    <xf numFmtId="0" fontId="1" fillId="0" borderId="85" xfId="8" applyFont="1" applyFill="1" applyBorder="1" applyAlignment="1" applyProtection="1">
      <alignment horizontal="center" vertical="center"/>
      <protection locked="0"/>
    </xf>
    <xf numFmtId="9" fontId="1" fillId="0" borderId="66" xfId="10" applyFont="1" applyFill="1" applyBorder="1" applyAlignment="1" applyProtection="1">
      <alignment horizontal="center" vertical="center"/>
      <protection locked="0"/>
    </xf>
    <xf numFmtId="9" fontId="1" fillId="0" borderId="82" xfId="10" applyFont="1" applyFill="1" applyBorder="1" applyAlignment="1" applyProtection="1">
      <alignment horizontal="center" vertical="center"/>
      <protection locked="0"/>
    </xf>
    <xf numFmtId="9" fontId="1" fillId="0" borderId="62" xfId="10" applyFont="1" applyFill="1" applyBorder="1" applyAlignment="1" applyProtection="1">
      <alignment horizontal="center" vertical="center"/>
      <protection locked="0"/>
    </xf>
    <xf numFmtId="9" fontId="1" fillId="0" borderId="64" xfId="10" applyFont="1" applyFill="1" applyBorder="1" applyAlignment="1" applyProtection="1">
      <alignment horizontal="center" vertical="center"/>
      <protection locked="0"/>
    </xf>
    <xf numFmtId="0" fontId="1" fillId="0" borderId="66" xfId="8" applyFont="1" applyFill="1" applyBorder="1" applyAlignment="1" applyProtection="1">
      <alignment horizontal="left" vertical="center"/>
      <protection locked="0"/>
    </xf>
    <xf numFmtId="0" fontId="1" fillId="0" borderId="80" xfId="8" applyFont="1" applyFill="1" applyBorder="1" applyAlignment="1" applyProtection="1">
      <alignment horizontal="left" vertical="center"/>
      <protection locked="0"/>
    </xf>
    <xf numFmtId="0" fontId="20" fillId="4" borderId="66" xfId="0" applyFont="1" applyFill="1" applyBorder="1" applyAlignment="1" applyProtection="1">
      <alignment horizontal="center" vertical="center"/>
      <protection locked="0"/>
    </xf>
    <xf numFmtId="0" fontId="20" fillId="0" borderId="90" xfId="7" applyFont="1" applyFill="1" applyBorder="1" applyAlignment="1" applyProtection="1">
      <alignment horizontal="center" vertical="center" wrapText="1"/>
      <protection locked="0"/>
    </xf>
    <xf numFmtId="9" fontId="20" fillId="0" borderId="78" xfId="10" applyFont="1" applyFill="1" applyBorder="1" applyAlignment="1" applyProtection="1">
      <alignment horizontal="center" vertical="center" wrapText="1"/>
      <protection locked="0"/>
    </xf>
    <xf numFmtId="0" fontId="20" fillId="0" borderId="71" xfId="7" applyFont="1" applyFill="1" applyBorder="1" applyAlignment="1" applyProtection="1">
      <alignment horizontal="center" vertical="center" wrapText="1"/>
      <protection locked="0"/>
    </xf>
    <xf numFmtId="0" fontId="20" fillId="4" borderId="82" xfId="8" applyFont="1" applyFill="1" applyBorder="1" applyAlignment="1" applyProtection="1">
      <alignment horizontal="center" vertical="center" wrapText="1"/>
      <protection locked="0"/>
    </xf>
    <xf numFmtId="0" fontId="20" fillId="4" borderId="66" xfId="8" applyFont="1" applyFill="1" applyBorder="1" applyAlignment="1" applyProtection="1">
      <alignment horizontal="center" vertical="center" wrapText="1"/>
      <protection locked="0"/>
    </xf>
    <xf numFmtId="0" fontId="20" fillId="4" borderId="83" xfId="8" applyFont="1" applyFill="1" applyBorder="1" applyAlignment="1" applyProtection="1">
      <alignment horizontal="center" vertical="center" wrapText="1"/>
      <protection locked="0"/>
    </xf>
    <xf numFmtId="0" fontId="20" fillId="4" borderId="80" xfId="8" applyFont="1" applyFill="1" applyBorder="1" applyAlignment="1" applyProtection="1">
      <alignment horizontal="center" vertical="center" wrapText="1"/>
      <protection locked="0"/>
    </xf>
    <xf numFmtId="0" fontId="1" fillId="4" borderId="66" xfId="6" applyFont="1" applyFill="1" applyBorder="1" applyAlignment="1" applyProtection="1">
      <alignment horizontal="center" vertical="center" wrapText="1"/>
      <protection locked="0"/>
    </xf>
    <xf numFmtId="0" fontId="1" fillId="4" borderId="85" xfId="6" applyFont="1" applyFill="1" applyBorder="1" applyAlignment="1" applyProtection="1">
      <alignment horizontal="center" vertical="center" wrapText="1"/>
      <protection locked="0"/>
    </xf>
    <xf numFmtId="0" fontId="1" fillId="4" borderId="80" xfId="6" applyFont="1" applyFill="1" applyBorder="1" applyAlignment="1" applyProtection="1">
      <alignment horizontal="center" vertical="center" wrapText="1"/>
      <protection locked="0"/>
    </xf>
    <xf numFmtId="0" fontId="1" fillId="4" borderId="78" xfId="6" applyFont="1" applyFill="1" applyBorder="1" applyAlignment="1" applyProtection="1">
      <alignment horizontal="center" vertical="center" wrapText="1"/>
      <protection locked="0"/>
    </xf>
    <xf numFmtId="0" fontId="1" fillId="4" borderId="81" xfId="6" applyFont="1" applyFill="1" applyBorder="1" applyAlignment="1" applyProtection="1">
      <alignment horizontal="center" vertical="center" wrapText="1"/>
      <protection locked="0"/>
    </xf>
    <xf numFmtId="0" fontId="1" fillId="4" borderId="77" xfId="6" applyFont="1" applyFill="1" applyBorder="1" applyAlignment="1" applyProtection="1">
      <alignment horizontal="center" vertical="center" wrapText="1"/>
      <protection locked="0"/>
    </xf>
    <xf numFmtId="0" fontId="2" fillId="0" borderId="56" xfId="3" applyBorder="1" applyAlignment="1" applyProtection="1">
      <alignment horizontal="right" vertical="center"/>
    </xf>
    <xf numFmtId="0" fontId="2" fillId="0" borderId="7" xfId="3" applyBorder="1" applyAlignment="1" applyProtection="1">
      <alignment vertical="center"/>
    </xf>
    <xf numFmtId="0" fontId="20" fillId="0" borderId="223" xfId="7" applyFont="1" applyBorder="1" applyAlignment="1" applyProtection="1">
      <alignment horizontal="center" vertical="center"/>
      <protection locked="0"/>
    </xf>
    <xf numFmtId="0" fontId="20" fillId="0" borderId="224" xfId="7" applyFont="1" applyBorder="1" applyAlignment="1" applyProtection="1">
      <alignment horizontal="center" vertical="center"/>
      <protection locked="0"/>
    </xf>
    <xf numFmtId="0" fontId="20" fillId="0" borderId="187" xfId="7" applyFont="1" applyBorder="1" applyAlignment="1" applyProtection="1">
      <alignment horizontal="center" vertical="center"/>
      <protection locked="0"/>
    </xf>
    <xf numFmtId="0" fontId="20" fillId="4" borderId="86" xfId="7" applyFont="1" applyFill="1" applyBorder="1" applyAlignment="1" applyProtection="1">
      <alignment horizontal="center" vertical="center" wrapText="1"/>
      <protection locked="0"/>
    </xf>
    <xf numFmtId="0" fontId="20" fillId="4" borderId="77" xfId="7" applyFont="1" applyFill="1" applyBorder="1" applyAlignment="1" applyProtection="1">
      <alignment horizontal="center" vertical="center" wrapText="1"/>
      <protection locked="0"/>
    </xf>
    <xf numFmtId="0" fontId="20" fillId="4" borderId="63" xfId="7" applyFont="1" applyFill="1" applyBorder="1" applyAlignment="1" applyProtection="1">
      <alignment horizontal="center" vertical="center" wrapText="1"/>
      <protection locked="0"/>
    </xf>
    <xf numFmtId="0" fontId="20" fillId="4" borderId="66" xfId="7" applyFont="1" applyFill="1" applyBorder="1" applyAlignment="1" applyProtection="1">
      <alignment horizontal="center" vertical="center" wrapText="1"/>
      <protection locked="0"/>
    </xf>
    <xf numFmtId="0" fontId="20" fillId="4" borderId="78" xfId="7" applyFont="1" applyFill="1" applyBorder="1" applyAlignment="1" applyProtection="1">
      <alignment horizontal="center" vertical="center" wrapText="1"/>
      <protection locked="0"/>
    </xf>
    <xf numFmtId="0" fontId="20" fillId="4" borderId="80" xfId="7" applyFont="1" applyFill="1" applyBorder="1" applyAlignment="1" applyProtection="1">
      <alignment horizontal="center" vertical="center" wrapText="1"/>
      <protection locked="0"/>
    </xf>
    <xf numFmtId="0" fontId="20" fillId="0" borderId="0" xfId="7" applyFont="1" applyAlignment="1" applyProtection="1">
      <alignment horizontal="right"/>
    </xf>
    <xf numFmtId="0" fontId="20" fillId="12" borderId="0" xfId="7" applyFont="1" applyFill="1" applyProtection="1"/>
    <xf numFmtId="0" fontId="21" fillId="0" borderId="0" xfId="0" applyFont="1"/>
    <xf numFmtId="0" fontId="0" fillId="0" borderId="0" xfId="0" applyFont="1"/>
    <xf numFmtId="49" fontId="0" fillId="0" borderId="0" xfId="0" applyNumberFormat="1"/>
    <xf numFmtId="49" fontId="0" fillId="0" borderId="0" xfId="0" quotePrefix="1" applyNumberFormat="1"/>
    <xf numFmtId="0" fontId="0" fillId="5" borderId="0" xfId="0" applyFill="1"/>
    <xf numFmtId="0" fontId="0" fillId="13" borderId="0" xfId="0" applyFill="1"/>
    <xf numFmtId="0" fontId="0" fillId="0" borderId="0" xfId="0" applyFill="1" applyAlignment="1">
      <alignment horizontal="center" vertical="center" wrapText="1"/>
    </xf>
    <xf numFmtId="0" fontId="20" fillId="5" borderId="99" xfId="7" applyFont="1" applyFill="1" applyBorder="1" applyAlignment="1" applyProtection="1">
      <alignment horizontal="center" vertical="center"/>
    </xf>
    <xf numFmtId="9" fontId="19" fillId="0" borderId="0" xfId="10" applyFont="1" applyFill="1" applyAlignment="1">
      <alignment horizontal="center" vertical="center" wrapText="1"/>
    </xf>
    <xf numFmtId="9" fontId="19" fillId="0" borderId="0" xfId="10" applyFont="1"/>
    <xf numFmtId="0" fontId="0" fillId="14" borderId="0" xfId="0" applyFill="1"/>
    <xf numFmtId="0" fontId="22" fillId="0" borderId="0" xfId="0" applyFont="1" applyAlignment="1">
      <alignment horizontal="right"/>
    </xf>
    <xf numFmtId="0" fontId="0" fillId="0" borderId="0" xfId="0" applyAlignment="1">
      <alignment horizontal="center" vertical="center"/>
    </xf>
    <xf numFmtId="0" fontId="0" fillId="0" borderId="1" xfId="0" applyBorder="1"/>
    <xf numFmtId="0" fontId="0" fillId="0" borderId="2" xfId="0" applyBorder="1"/>
    <xf numFmtId="0" fontId="0" fillId="0" borderId="56" xfId="0" applyBorder="1"/>
    <xf numFmtId="0" fontId="0" fillId="0" borderId="3" xfId="0" applyBorder="1"/>
    <xf numFmtId="0" fontId="0" fillId="0" borderId="0" xfId="0" applyBorder="1"/>
    <xf numFmtId="0" fontId="0" fillId="0" borderId="8" xfId="0" applyBorder="1"/>
    <xf numFmtId="0" fontId="0" fillId="0" borderId="55" xfId="0" applyFill="1" applyBorder="1"/>
    <xf numFmtId="0" fontId="0" fillId="6" borderId="13" xfId="0" applyFont="1" applyFill="1" applyBorder="1" applyAlignment="1">
      <alignment horizontal="left"/>
    </xf>
    <xf numFmtId="0" fontId="0" fillId="6" borderId="7" xfId="0" applyFill="1" applyBorder="1"/>
    <xf numFmtId="0" fontId="0" fillId="6" borderId="13" xfId="0" applyFill="1" applyBorder="1"/>
    <xf numFmtId="0" fontId="0" fillId="6" borderId="14" xfId="0" applyFill="1" applyBorder="1"/>
    <xf numFmtId="0" fontId="0" fillId="0" borderId="1" xfId="0" applyFill="1" applyBorder="1"/>
    <xf numFmtId="0" fontId="0" fillId="0" borderId="3" xfId="0" applyFill="1" applyBorder="1"/>
    <xf numFmtId="0" fontId="0" fillId="0" borderId="3" xfId="0" quotePrefix="1" applyFill="1" applyBorder="1"/>
    <xf numFmtId="0" fontId="0" fillId="15" borderId="0" xfId="0" applyFill="1"/>
    <xf numFmtId="0" fontId="0" fillId="6" borderId="7" xfId="0" applyFont="1" applyFill="1" applyBorder="1" applyAlignment="1">
      <alignment horizontal="left"/>
    </xf>
    <xf numFmtId="0" fontId="0" fillId="0" borderId="2" xfId="0" applyFill="1" applyBorder="1"/>
    <xf numFmtId="0" fontId="0" fillId="0" borderId="0" xfId="0" applyFill="1" applyBorder="1"/>
    <xf numFmtId="0" fontId="0" fillId="0" borderId="0" xfId="0" quotePrefix="1" applyFill="1" applyBorder="1"/>
    <xf numFmtId="0" fontId="0" fillId="6" borderId="14" xfId="0" applyFont="1" applyFill="1" applyBorder="1" applyAlignment="1">
      <alignment horizontal="left"/>
    </xf>
    <xf numFmtId="0" fontId="0" fillId="0" borderId="56" xfId="0" applyFill="1" applyBorder="1"/>
    <xf numFmtId="0" fontId="0" fillId="0" borderId="8" xfId="0" applyFill="1" applyBorder="1"/>
    <xf numFmtId="0" fontId="0" fillId="0" borderId="8" xfId="0" quotePrefix="1" applyFill="1" applyBorder="1"/>
    <xf numFmtId="9" fontId="19" fillId="0" borderId="0" xfId="10" applyFont="1"/>
    <xf numFmtId="1" fontId="0" fillId="0" borderId="0" xfId="0" applyNumberFormat="1"/>
    <xf numFmtId="0" fontId="0" fillId="5" borderId="0" xfId="0" applyFill="1" applyAlignment="1">
      <alignment horizontal="center" vertical="center" wrapText="1"/>
    </xf>
    <xf numFmtId="9" fontId="20" fillId="0" borderId="0" xfId="10" applyFont="1" applyProtection="1"/>
    <xf numFmtId="0" fontId="0" fillId="16" borderId="0" xfId="0" applyFill="1"/>
    <xf numFmtId="0" fontId="1" fillId="0" borderId="63" xfId="8" applyFont="1" applyFill="1" applyBorder="1" applyAlignment="1" applyProtection="1">
      <alignment horizontal="center" vertical="center"/>
      <protection locked="0"/>
    </xf>
    <xf numFmtId="0" fontId="20" fillId="0" borderId="80" xfId="7" applyFont="1" applyBorder="1" applyAlignment="1" applyProtection="1">
      <alignment horizontal="left" vertical="center"/>
      <protection locked="0"/>
    </xf>
    <xf numFmtId="0" fontId="20" fillId="0" borderId="66" xfId="7" applyFont="1" applyBorder="1" applyAlignment="1" applyProtection="1">
      <alignment horizontal="left" vertical="center"/>
      <protection locked="0"/>
    </xf>
    <xf numFmtId="0" fontId="0" fillId="0" borderId="54" xfId="0" applyBorder="1"/>
    <xf numFmtId="0" fontId="0" fillId="0" borderId="71" xfId="0" applyBorder="1"/>
    <xf numFmtId="9" fontId="20" fillId="4" borderId="78" xfId="10" applyFont="1" applyFill="1" applyBorder="1" applyAlignment="1" applyProtection="1">
      <alignment horizontal="center" vertical="center"/>
      <protection locked="0"/>
    </xf>
    <xf numFmtId="0" fontId="1" fillId="0" borderId="105" xfId="6" applyFont="1" applyFill="1" applyBorder="1" applyAlignment="1" applyProtection="1">
      <alignment horizontal="left" vertical="center" wrapText="1"/>
    </xf>
    <xf numFmtId="0" fontId="1" fillId="0" borderId="106" xfId="6" applyFont="1" applyFill="1" applyBorder="1" applyAlignment="1" applyProtection="1">
      <alignment horizontal="left" vertical="center" wrapText="1"/>
    </xf>
    <xf numFmtId="0" fontId="1" fillId="0" borderId="107" xfId="6" applyFont="1" applyFill="1" applyBorder="1" applyAlignment="1" applyProtection="1">
      <alignment horizontal="left" vertical="center" wrapText="1"/>
    </xf>
    <xf numFmtId="0" fontId="36" fillId="17" borderId="102" xfId="6" applyFont="1" applyFill="1" applyBorder="1" applyAlignment="1" applyProtection="1">
      <alignment horizontal="center" vertical="center"/>
    </xf>
    <xf numFmtId="0" fontId="36" fillId="17" borderId="103" xfId="6" applyFont="1" applyFill="1" applyBorder="1" applyAlignment="1" applyProtection="1">
      <alignment horizontal="center" vertical="center"/>
    </xf>
    <xf numFmtId="0" fontId="36" fillId="17" borderId="104" xfId="6" applyFont="1" applyFill="1" applyBorder="1" applyAlignment="1" applyProtection="1">
      <alignment horizontal="center" vertical="center"/>
    </xf>
    <xf numFmtId="0" fontId="4" fillId="0" borderId="55" xfId="6" applyFont="1" applyFill="1" applyBorder="1" applyAlignment="1" applyProtection="1">
      <alignment horizontal="center" vertical="top"/>
    </xf>
    <xf numFmtId="0" fontId="4" fillId="0" borderId="54" xfId="6" applyFont="1" applyFill="1" applyBorder="1" applyAlignment="1" applyProtection="1">
      <alignment horizontal="center" vertical="top"/>
    </xf>
    <xf numFmtId="0" fontId="4" fillId="0" borderId="71" xfId="6" applyFont="1" applyFill="1" applyBorder="1" applyAlignment="1" applyProtection="1">
      <alignment horizontal="center" vertical="top"/>
    </xf>
    <xf numFmtId="0" fontId="2" fillId="0" borderId="2" xfId="3" applyBorder="1" applyAlignment="1" applyProtection="1">
      <alignment horizontal="right"/>
    </xf>
    <xf numFmtId="0" fontId="2" fillId="0" borderId="56" xfId="3" applyBorder="1" applyAlignment="1" applyProtection="1">
      <alignment horizontal="right"/>
    </xf>
    <xf numFmtId="0" fontId="1" fillId="0" borderId="0" xfId="6" applyFont="1" applyBorder="1" applyAlignment="1" applyProtection="1">
      <alignment horizontal="right"/>
    </xf>
    <xf numFmtId="0" fontId="1" fillId="0" borderId="8" xfId="6" applyFont="1" applyBorder="1" applyAlignment="1" applyProtection="1">
      <alignment horizontal="right"/>
    </xf>
    <xf numFmtId="0" fontId="1" fillId="0" borderId="100" xfId="6" applyFont="1" applyBorder="1" applyAlignment="1" applyProtection="1">
      <alignment horizontal="right"/>
    </xf>
    <xf numFmtId="0" fontId="1" fillId="0" borderId="101" xfId="6" applyFont="1" applyBorder="1" applyAlignment="1" applyProtection="1">
      <alignment horizontal="right"/>
    </xf>
    <xf numFmtId="0" fontId="35" fillId="17" borderId="67" xfId="6" applyFont="1" applyFill="1" applyBorder="1" applyAlignment="1" applyProtection="1">
      <alignment horizontal="center" vertical="center" wrapText="1"/>
    </xf>
    <xf numFmtId="0" fontId="35" fillId="17" borderId="24" xfId="6" applyFont="1" applyFill="1" applyBorder="1" applyAlignment="1" applyProtection="1">
      <alignment horizontal="center" vertical="center"/>
    </xf>
    <xf numFmtId="0" fontId="35" fillId="17" borderId="97" xfId="6" applyFont="1" applyFill="1" applyBorder="1" applyAlignment="1" applyProtection="1">
      <alignment horizontal="center" vertical="center"/>
    </xf>
    <xf numFmtId="0" fontId="1" fillId="0" borderId="67" xfId="6" applyFont="1" applyFill="1" applyBorder="1" applyAlignment="1" applyProtection="1">
      <alignment horizontal="center" vertical="top"/>
    </xf>
    <xf numFmtId="0" fontId="1" fillId="0" borderId="24" xfId="6" applyFont="1" applyFill="1" applyBorder="1" applyAlignment="1" applyProtection="1">
      <alignment horizontal="center" vertical="top"/>
    </xf>
    <xf numFmtId="0" fontId="1" fillId="0" borderId="97" xfId="6" applyFont="1" applyFill="1" applyBorder="1" applyAlignment="1" applyProtection="1">
      <alignment horizontal="center" vertical="top"/>
    </xf>
    <xf numFmtId="0" fontId="2" fillId="0" borderId="13" xfId="3" applyBorder="1" applyAlignment="1" applyProtection="1">
      <alignment horizontal="left" vertical="center"/>
    </xf>
    <xf numFmtId="0" fontId="2" fillId="0" borderId="7" xfId="3" applyBorder="1" applyAlignment="1" applyProtection="1">
      <alignment horizontal="left" vertical="center"/>
    </xf>
    <xf numFmtId="0" fontId="2" fillId="0" borderId="7" xfId="3" applyBorder="1" applyAlignment="1" applyProtection="1">
      <alignment horizontal="center" vertical="center"/>
    </xf>
    <xf numFmtId="0" fontId="31" fillId="4" borderId="55" xfId="0" applyFont="1" applyFill="1" applyBorder="1" applyAlignment="1" applyProtection="1">
      <alignment horizontal="center" vertical="center"/>
    </xf>
    <xf numFmtId="0" fontId="31" fillId="4" borderId="54" xfId="0" applyFont="1" applyFill="1" applyBorder="1" applyAlignment="1" applyProtection="1">
      <alignment horizontal="center" vertical="center"/>
    </xf>
    <xf numFmtId="0" fontId="31" fillId="4" borderId="71" xfId="0" applyFont="1" applyFill="1" applyBorder="1" applyAlignment="1" applyProtection="1">
      <alignment horizontal="center" vertical="center"/>
    </xf>
    <xf numFmtId="0" fontId="2" fillId="4" borderId="153" xfId="3" applyFill="1" applyBorder="1" applyAlignment="1" applyProtection="1">
      <alignment horizontal="left"/>
    </xf>
    <xf numFmtId="0" fontId="2" fillId="4" borderId="154" xfId="3" applyFill="1" applyBorder="1" applyAlignment="1" applyProtection="1">
      <alignment horizontal="left"/>
    </xf>
    <xf numFmtId="0" fontId="2" fillId="4" borderId="141" xfId="3" applyFill="1" applyBorder="1" applyAlignment="1" applyProtection="1">
      <alignment horizontal="left"/>
    </xf>
    <xf numFmtId="0" fontId="2" fillId="4" borderId="227" xfId="3" applyFill="1" applyBorder="1" applyAlignment="1" applyProtection="1">
      <alignment horizontal="left"/>
    </xf>
    <xf numFmtId="0" fontId="2" fillId="4" borderId="167" xfId="3" applyFill="1" applyBorder="1" applyAlignment="1" applyProtection="1">
      <alignment horizontal="left"/>
    </xf>
    <xf numFmtId="0" fontId="2" fillId="4" borderId="144" xfId="3" applyFill="1" applyBorder="1" applyAlignment="1" applyProtection="1">
      <alignment horizontal="left"/>
    </xf>
    <xf numFmtId="0" fontId="36" fillId="18" borderId="176" xfId="0" applyFont="1" applyFill="1" applyBorder="1" applyAlignment="1" applyProtection="1">
      <alignment horizontal="center"/>
    </xf>
    <xf numFmtId="0" fontId="36" fillId="18" borderId="170" xfId="0" applyFont="1" applyFill="1" applyBorder="1" applyAlignment="1" applyProtection="1">
      <alignment horizontal="center"/>
    </xf>
    <xf numFmtId="0" fontId="36" fillId="18" borderId="171" xfId="0" applyFont="1" applyFill="1" applyBorder="1" applyAlignment="1" applyProtection="1">
      <alignment horizontal="center"/>
    </xf>
    <xf numFmtId="0" fontId="2" fillId="4" borderId="225" xfId="3" applyFill="1" applyBorder="1" applyAlignment="1" applyProtection="1">
      <alignment horizontal="left"/>
    </xf>
    <xf numFmtId="0" fontId="2" fillId="4" borderId="226" xfId="3" applyFill="1" applyBorder="1" applyAlignment="1" applyProtection="1">
      <alignment horizontal="left"/>
    </xf>
    <xf numFmtId="0" fontId="4" fillId="0" borderId="55" xfId="6" applyFont="1" applyBorder="1" applyAlignment="1" applyProtection="1">
      <alignment horizontal="center"/>
    </xf>
    <xf numFmtId="0" fontId="4" fillId="0" borderId="54" xfId="6" applyFont="1" applyBorder="1" applyAlignment="1" applyProtection="1">
      <alignment horizontal="center"/>
    </xf>
    <xf numFmtId="0" fontId="4" fillId="0" borderId="71" xfId="6" applyFont="1" applyBorder="1" applyAlignment="1" applyProtection="1">
      <alignment horizontal="center"/>
    </xf>
    <xf numFmtId="0" fontId="27" fillId="0" borderId="175" xfId="6" applyFont="1" applyBorder="1" applyAlignment="1" applyProtection="1">
      <alignment vertical="center" wrapText="1"/>
    </xf>
    <xf numFmtId="0" fontId="27" fillId="0" borderId="148" xfId="6" applyFont="1" applyBorder="1" applyAlignment="1" applyProtection="1">
      <alignment vertical="center" wrapText="1"/>
    </xf>
    <xf numFmtId="0" fontId="27" fillId="0" borderId="190" xfId="6" applyFont="1" applyBorder="1" applyAlignment="1" applyProtection="1">
      <alignment vertical="center" wrapText="1"/>
    </xf>
    <xf numFmtId="0" fontId="1" fillId="0" borderId="175" xfId="6" applyFont="1" applyBorder="1" applyAlignment="1" applyProtection="1">
      <alignment vertical="center" wrapText="1"/>
    </xf>
    <xf numFmtId="0" fontId="1" fillId="0" borderId="148" xfId="6" applyFont="1" applyBorder="1" applyAlignment="1" applyProtection="1">
      <alignment vertical="center" wrapText="1"/>
    </xf>
    <xf numFmtId="0" fontId="1" fillId="0" borderId="190" xfId="6" applyFont="1" applyBorder="1" applyAlignment="1" applyProtection="1">
      <alignment vertical="center" wrapText="1"/>
    </xf>
    <xf numFmtId="0" fontId="1" fillId="4" borderId="175" xfId="6" applyFont="1" applyFill="1" applyBorder="1" applyAlignment="1" applyProtection="1">
      <alignment horizontal="left" vertical="center" wrapText="1"/>
    </xf>
    <xf numFmtId="0" fontId="1" fillId="4" borderId="148" xfId="6" applyFont="1" applyFill="1" applyBorder="1" applyAlignment="1" applyProtection="1">
      <alignment horizontal="left" vertical="center" wrapText="1"/>
    </xf>
    <xf numFmtId="0" fontId="1" fillId="4" borderId="190" xfId="6" applyFont="1" applyFill="1" applyBorder="1" applyAlignment="1" applyProtection="1">
      <alignment horizontal="left" vertical="center" wrapText="1"/>
    </xf>
    <xf numFmtId="0" fontId="1" fillId="0" borderId="142" xfId="6" applyFont="1" applyBorder="1" applyAlignment="1" applyProtection="1">
      <alignment horizontal="left" vertical="center" wrapText="1"/>
    </xf>
    <xf numFmtId="0" fontId="1" fillId="0" borderId="150" xfId="6" applyFont="1" applyBorder="1" applyAlignment="1" applyProtection="1">
      <alignment horizontal="left" vertical="center" wrapText="1"/>
    </xf>
    <xf numFmtId="0" fontId="1" fillId="0" borderId="187" xfId="6" applyFont="1" applyBorder="1" applyAlignment="1" applyProtection="1">
      <alignment horizontal="left" vertical="center" wrapText="1"/>
    </xf>
    <xf numFmtId="0" fontId="1" fillId="0" borderId="3" xfId="4" applyFont="1" applyBorder="1" applyAlignment="1" applyProtection="1">
      <alignment horizontal="left"/>
    </xf>
    <xf numFmtId="0" fontId="1" fillId="0" borderId="0" xfId="4" applyFont="1" applyBorder="1" applyAlignment="1" applyProtection="1">
      <alignment horizontal="left"/>
    </xf>
    <xf numFmtId="0" fontId="1" fillId="0" borderId="0" xfId="4" applyFont="1" applyBorder="1" applyAlignment="1" applyProtection="1">
      <alignment horizontal="center"/>
    </xf>
    <xf numFmtId="0" fontId="1" fillId="0" borderId="0" xfId="4" applyFont="1" applyBorder="1" applyAlignment="1" applyProtection="1">
      <alignment horizontal="right"/>
    </xf>
    <xf numFmtId="0" fontId="1" fillId="0" borderId="8" xfId="4" applyFont="1" applyBorder="1" applyAlignment="1" applyProtection="1">
      <alignment horizontal="right"/>
    </xf>
    <xf numFmtId="0" fontId="1" fillId="0" borderId="175" xfId="6" applyFont="1" applyBorder="1" applyAlignment="1" applyProtection="1">
      <alignment horizontal="left" vertical="center" wrapText="1"/>
    </xf>
    <xf numFmtId="0" fontId="1" fillId="0" borderId="148" xfId="6" applyFont="1" applyBorder="1" applyAlignment="1" applyProtection="1">
      <alignment horizontal="left" vertical="center" wrapText="1"/>
    </xf>
    <xf numFmtId="0" fontId="1" fillId="0" borderId="190" xfId="6" applyFont="1" applyBorder="1" applyAlignment="1" applyProtection="1">
      <alignment horizontal="left" vertical="center" wrapText="1"/>
    </xf>
    <xf numFmtId="0" fontId="2" fillId="0" borderId="7" xfId="3" applyBorder="1" applyAlignment="1" applyProtection="1">
      <alignment horizontal="right"/>
    </xf>
    <xf numFmtId="0" fontId="2" fillId="0" borderId="14" xfId="3" applyBorder="1" applyAlignment="1" applyProtection="1">
      <alignment horizontal="right"/>
    </xf>
    <xf numFmtId="0" fontId="5" fillId="3" borderId="13" xfId="6" applyFont="1" applyFill="1" applyBorder="1" applyAlignment="1" applyProtection="1">
      <alignment horizontal="left"/>
    </xf>
    <xf numFmtId="0" fontId="6" fillId="3" borderId="7" xfId="6" applyFont="1" applyFill="1" applyBorder="1" applyAlignment="1" applyProtection="1">
      <alignment horizontal="left"/>
    </xf>
    <xf numFmtId="0" fontId="6" fillId="3" borderId="14" xfId="6" applyFont="1" applyFill="1" applyBorder="1" applyAlignment="1" applyProtection="1">
      <alignment horizontal="left"/>
    </xf>
    <xf numFmtId="0" fontId="1" fillId="0" borderId="228" xfId="6" applyFont="1" applyBorder="1" applyAlignment="1" applyProtection="1">
      <alignment horizontal="left" vertical="center" wrapText="1"/>
    </xf>
    <xf numFmtId="0" fontId="1" fillId="0" borderId="229" xfId="6" applyFont="1" applyBorder="1" applyAlignment="1" applyProtection="1">
      <alignment horizontal="left" vertical="center" wrapText="1"/>
    </xf>
    <xf numFmtId="0" fontId="1" fillId="0" borderId="230" xfId="6" applyFont="1" applyBorder="1" applyAlignment="1" applyProtection="1">
      <alignment horizontal="left" vertical="center" wrapText="1"/>
    </xf>
    <xf numFmtId="0" fontId="1" fillId="0" borderId="175" xfId="6" applyFont="1" applyBorder="1" applyAlignment="1" applyProtection="1">
      <alignment horizontal="left" vertical="top" wrapText="1"/>
    </xf>
    <xf numFmtId="0" fontId="1" fillId="0" borderId="148" xfId="6" applyFont="1" applyBorder="1" applyAlignment="1" applyProtection="1">
      <alignment horizontal="left" vertical="top" wrapText="1"/>
    </xf>
    <xf numFmtId="0" fontId="1" fillId="0" borderId="190" xfId="6" applyFont="1" applyBorder="1" applyAlignment="1" applyProtection="1">
      <alignment horizontal="left" vertical="top" wrapText="1"/>
    </xf>
    <xf numFmtId="0" fontId="37" fillId="19" borderId="1" xfId="7" applyFont="1" applyFill="1" applyBorder="1" applyAlignment="1" applyProtection="1">
      <alignment horizontal="left" vertical="center"/>
    </xf>
    <xf numFmtId="0" fontId="37" fillId="19" borderId="2" xfId="7" applyFont="1" applyFill="1" applyBorder="1" applyAlignment="1" applyProtection="1">
      <alignment horizontal="left" vertical="center"/>
    </xf>
    <xf numFmtId="0" fontId="37" fillId="19" borderId="56" xfId="7" applyFont="1" applyFill="1" applyBorder="1" applyAlignment="1" applyProtection="1">
      <alignment horizontal="left" vertical="center"/>
    </xf>
    <xf numFmtId="0" fontId="1" fillId="8" borderId="225" xfId="7" applyFont="1" applyFill="1" applyBorder="1" applyAlignment="1" applyProtection="1">
      <alignment horizontal="center" vertical="top" wrapText="1"/>
    </xf>
    <xf numFmtId="0" fontId="1" fillId="8" borderId="226" xfId="7" applyFont="1" applyFill="1" applyBorder="1" applyAlignment="1" applyProtection="1">
      <alignment horizontal="center" vertical="top" wrapText="1"/>
    </xf>
    <xf numFmtId="0" fontId="1" fillId="0" borderId="141" xfId="7" applyFont="1" applyFill="1" applyBorder="1" applyAlignment="1" applyProtection="1">
      <alignment vertical="center" wrapText="1"/>
    </xf>
    <xf numFmtId="0" fontId="1" fillId="0" borderId="227" xfId="7" applyFont="1" applyFill="1" applyBorder="1" applyAlignment="1" applyProtection="1">
      <alignment vertical="center" wrapText="1"/>
    </xf>
    <xf numFmtId="0" fontId="1" fillId="4" borderId="175" xfId="7" applyFont="1" applyFill="1" applyBorder="1" applyAlignment="1" applyProtection="1">
      <alignment vertical="center" wrapText="1"/>
    </xf>
    <xf numFmtId="0" fontId="1" fillId="4" borderId="148" xfId="7" applyFont="1" applyFill="1" applyBorder="1" applyAlignment="1" applyProtection="1">
      <alignment vertical="center" wrapText="1"/>
    </xf>
    <xf numFmtId="0" fontId="1" fillId="4" borderId="190" xfId="7" applyFont="1" applyFill="1" applyBorder="1" applyAlignment="1" applyProtection="1">
      <alignment vertical="center" wrapText="1"/>
    </xf>
    <xf numFmtId="0" fontId="7" fillId="0" borderId="55" xfId="7" applyFont="1" applyFill="1" applyBorder="1" applyAlignment="1" applyProtection="1">
      <alignment horizontal="center"/>
    </xf>
    <xf numFmtId="0" fontId="7" fillId="0" borderId="54" xfId="7" applyFont="1" applyFill="1" applyBorder="1" applyAlignment="1" applyProtection="1">
      <alignment horizontal="center"/>
    </xf>
    <xf numFmtId="0" fontId="7" fillId="0" borderId="71" xfId="7" applyFont="1" applyFill="1" applyBorder="1" applyAlignment="1" applyProtection="1">
      <alignment horizontal="center"/>
    </xf>
    <xf numFmtId="0" fontId="1" fillId="0" borderId="175" xfId="7" applyFont="1" applyFill="1" applyBorder="1" applyAlignment="1" applyProtection="1">
      <alignment vertical="center" wrapText="1"/>
    </xf>
    <xf numFmtId="0" fontId="1" fillId="0" borderId="148" xfId="7" applyFont="1" applyFill="1" applyBorder="1" applyAlignment="1" applyProtection="1">
      <alignment vertical="center" wrapText="1"/>
    </xf>
    <xf numFmtId="0" fontId="1" fillId="0" borderId="190" xfId="7" applyFont="1" applyFill="1" applyBorder="1" applyAlignment="1" applyProtection="1">
      <alignment vertical="center" wrapText="1"/>
    </xf>
    <xf numFmtId="0" fontId="1" fillId="4" borderId="142" xfId="7" applyFont="1" applyFill="1" applyBorder="1" applyAlignment="1" applyProtection="1">
      <alignment vertical="center" wrapText="1"/>
    </xf>
    <xf numFmtId="0" fontId="1" fillId="4" borderId="150" xfId="7" applyFont="1" applyFill="1" applyBorder="1" applyAlignment="1" applyProtection="1">
      <alignment vertical="center" wrapText="1"/>
    </xf>
    <xf numFmtId="0" fontId="1" fillId="4" borderId="187" xfId="7" applyFont="1" applyFill="1" applyBorder="1" applyAlignment="1" applyProtection="1">
      <alignment vertical="center" wrapText="1"/>
    </xf>
    <xf numFmtId="0" fontId="4" fillId="0" borderId="55" xfId="7" applyFont="1" applyFill="1" applyBorder="1" applyAlignment="1" applyProtection="1">
      <alignment horizontal="center" vertical="top"/>
    </xf>
    <xf numFmtId="0" fontId="4" fillId="0" borderId="54" xfId="7" applyFont="1" applyFill="1" applyBorder="1" applyAlignment="1" applyProtection="1">
      <alignment horizontal="center" vertical="top"/>
    </xf>
    <xf numFmtId="0" fontId="4" fillId="0" borderId="71" xfId="7" applyFont="1" applyFill="1" applyBorder="1" applyAlignment="1" applyProtection="1">
      <alignment horizontal="center" vertical="top"/>
    </xf>
    <xf numFmtId="0" fontId="1" fillId="20" borderId="112" xfId="7" applyFont="1" applyFill="1" applyBorder="1" applyAlignment="1" applyProtection="1">
      <alignment horizontal="center" vertical="center" wrapText="1"/>
      <protection locked="0"/>
    </xf>
    <xf numFmtId="0" fontId="1" fillId="20" borderId="14" xfId="7" applyFont="1" applyFill="1" applyBorder="1" applyAlignment="1" applyProtection="1">
      <alignment horizontal="center" vertical="center" wrapText="1"/>
      <protection locked="0"/>
    </xf>
    <xf numFmtId="0" fontId="1" fillId="10" borderId="13" xfId="7" applyFont="1" applyFill="1" applyBorder="1" applyAlignment="1" applyProtection="1">
      <alignment horizontal="left" vertical="center" wrapText="1"/>
    </xf>
    <xf numFmtId="0" fontId="1" fillId="10" borderId="7" xfId="7" applyFont="1" applyFill="1" applyBorder="1" applyAlignment="1" applyProtection="1">
      <alignment horizontal="left" vertical="center" wrapText="1"/>
    </xf>
    <xf numFmtId="0" fontId="36" fillId="19" borderId="233" xfId="7" applyFont="1" applyFill="1" applyBorder="1" applyAlignment="1" applyProtection="1">
      <alignment horizontal="center"/>
    </xf>
    <xf numFmtId="0" fontId="36" fillId="19" borderId="234" xfId="7" applyFont="1" applyFill="1" applyBorder="1" applyAlignment="1" applyProtection="1">
      <alignment horizontal="center"/>
    </xf>
    <xf numFmtId="0" fontId="36" fillId="19" borderId="235" xfId="7" applyFont="1" applyFill="1" applyBorder="1" applyAlignment="1" applyProtection="1">
      <alignment horizontal="center"/>
    </xf>
    <xf numFmtId="0" fontId="36" fillId="19" borderId="236" xfId="7" applyFont="1" applyFill="1" applyBorder="1" applyAlignment="1" applyProtection="1">
      <alignment horizontal="center"/>
    </xf>
    <xf numFmtId="0" fontId="1" fillId="10" borderId="194" xfId="7" applyFont="1" applyFill="1" applyBorder="1" applyAlignment="1" applyProtection="1">
      <alignment horizontal="center" vertical="center" wrapText="1"/>
    </xf>
    <xf numFmtId="0" fontId="1" fillId="10" borderId="207" xfId="7" applyFont="1" applyFill="1" applyBorder="1" applyAlignment="1" applyProtection="1">
      <alignment horizontal="center" vertical="center" wrapText="1"/>
    </xf>
    <xf numFmtId="0" fontId="1" fillId="10" borderId="237" xfId="7" applyFont="1" applyFill="1" applyBorder="1" applyAlignment="1" applyProtection="1">
      <alignment horizontal="center" vertical="center" wrapText="1"/>
    </xf>
    <xf numFmtId="0" fontId="1" fillId="10" borderId="140" xfId="7" applyFont="1" applyFill="1" applyBorder="1" applyAlignment="1" applyProtection="1">
      <alignment horizontal="left" vertical="center" wrapText="1"/>
    </xf>
    <xf numFmtId="0" fontId="1" fillId="10" borderId="0" xfId="7" applyFont="1" applyFill="1" applyBorder="1" applyAlignment="1" applyProtection="1">
      <alignment horizontal="left" vertical="center" wrapText="1"/>
    </xf>
    <xf numFmtId="0" fontId="1" fillId="10" borderId="70" xfId="7" applyFont="1" applyFill="1" applyBorder="1" applyAlignment="1" applyProtection="1">
      <alignment horizontal="left" vertical="center" wrapText="1"/>
    </xf>
    <xf numFmtId="0" fontId="1" fillId="10" borderId="231" xfId="7" applyFont="1" applyFill="1" applyBorder="1" applyAlignment="1" applyProtection="1">
      <alignment horizontal="center" vertical="center" wrapText="1"/>
    </xf>
    <xf numFmtId="0" fontId="1" fillId="10" borderId="176" xfId="7" applyFont="1" applyFill="1" applyBorder="1" applyAlignment="1" applyProtection="1">
      <alignment horizontal="center" vertical="center" wrapText="1"/>
    </xf>
    <xf numFmtId="0" fontId="2" fillId="0" borderId="13" xfId="3" applyFill="1" applyBorder="1" applyAlignment="1" applyProtection="1">
      <alignment horizontal="left" vertical="center"/>
    </xf>
    <xf numFmtId="0" fontId="2" fillId="0" borderId="7" xfId="3" applyFill="1" applyBorder="1" applyAlignment="1" applyProtection="1">
      <alignment horizontal="left" vertical="center"/>
    </xf>
    <xf numFmtId="0" fontId="37" fillId="19" borderId="1" xfId="7" applyFont="1" applyFill="1" applyBorder="1" applyAlignment="1" applyProtection="1">
      <alignment horizontal="left"/>
    </xf>
    <xf numFmtId="0" fontId="37" fillId="19" borderId="2" xfId="7" applyFont="1" applyFill="1" applyBorder="1" applyAlignment="1" applyProtection="1">
      <alignment horizontal="left"/>
    </xf>
    <xf numFmtId="0" fontId="37" fillId="19" borderId="56" xfId="7" applyFont="1" applyFill="1" applyBorder="1" applyAlignment="1" applyProtection="1">
      <alignment horizontal="left"/>
    </xf>
    <xf numFmtId="0" fontId="38" fillId="20" borderId="14" xfId="7" applyFont="1" applyFill="1" applyBorder="1" applyAlignment="1" applyProtection="1">
      <alignment horizontal="center" vertical="center" wrapText="1"/>
      <protection locked="0"/>
    </xf>
    <xf numFmtId="0" fontId="1" fillId="10" borderId="232" xfId="7" applyFont="1" applyFill="1" applyBorder="1" applyAlignment="1" applyProtection="1">
      <alignment horizontal="left" vertical="center" wrapText="1"/>
    </xf>
    <xf numFmtId="0" fontId="1" fillId="10" borderId="113" xfId="7" applyFont="1" applyFill="1" applyBorder="1" applyAlignment="1" applyProtection="1">
      <alignment horizontal="left" vertical="center" wrapText="1"/>
    </xf>
    <xf numFmtId="0" fontId="20" fillId="5" borderId="0" xfId="7" applyFont="1" applyFill="1" applyBorder="1" applyAlignment="1" applyProtection="1">
      <alignment horizontal="left" vertical="center"/>
    </xf>
    <xf numFmtId="0" fontId="20" fillId="5" borderId="70" xfId="7" applyFont="1" applyFill="1" applyBorder="1" applyAlignment="1" applyProtection="1">
      <alignment horizontal="left" vertical="center"/>
    </xf>
    <xf numFmtId="0" fontId="20" fillId="4" borderId="116" xfId="7" applyFont="1" applyFill="1" applyBorder="1" applyAlignment="1" applyProtection="1">
      <alignment horizontal="left" vertical="center" wrapText="1"/>
      <protection locked="0"/>
    </xf>
    <xf numFmtId="0" fontId="20" fillId="4" borderId="117" xfId="7" applyFont="1" applyFill="1" applyBorder="1" applyAlignment="1" applyProtection="1">
      <alignment horizontal="left" vertical="center" wrapText="1"/>
      <protection locked="0"/>
    </xf>
    <xf numFmtId="0" fontId="20" fillId="4" borderId="118" xfId="7" applyFont="1" applyFill="1" applyBorder="1" applyAlignment="1" applyProtection="1">
      <alignment horizontal="left" vertical="center" wrapText="1"/>
      <protection locked="0"/>
    </xf>
    <xf numFmtId="0" fontId="20" fillId="5" borderId="198" xfId="7" applyFont="1" applyFill="1" applyBorder="1" applyAlignment="1" applyProtection="1">
      <alignment horizontal="left" vertical="center" wrapText="1"/>
    </xf>
    <xf numFmtId="0" fontId="20" fillId="5" borderId="54" xfId="7" applyFont="1" applyFill="1" applyBorder="1" applyAlignment="1" applyProtection="1">
      <alignment horizontal="left" vertical="center" wrapText="1"/>
    </xf>
    <xf numFmtId="0" fontId="20" fillId="5" borderId="64" xfId="7" applyFont="1" applyFill="1" applyBorder="1" applyAlignment="1" applyProtection="1">
      <alignment horizontal="left" vertical="center" wrapText="1"/>
    </xf>
    <xf numFmtId="0" fontId="20" fillId="5" borderId="68" xfId="7" applyFont="1" applyFill="1" applyBorder="1" applyAlignment="1" applyProtection="1">
      <alignment horizontal="left" vertical="center" wrapText="1"/>
    </xf>
    <xf numFmtId="0" fontId="20" fillId="5" borderId="163" xfId="7" applyFont="1" applyFill="1" applyBorder="1" applyAlignment="1" applyProtection="1">
      <alignment horizontal="center" vertical="center" wrapText="1"/>
    </xf>
    <xf numFmtId="0" fontId="20" fillId="5" borderId="206" xfId="7" applyFont="1" applyFill="1" applyBorder="1" applyAlignment="1" applyProtection="1">
      <alignment horizontal="center" vertical="center" wrapText="1"/>
    </xf>
    <xf numFmtId="0" fontId="20" fillId="5" borderId="223" xfId="7" applyFont="1" applyFill="1" applyBorder="1" applyAlignment="1" applyProtection="1">
      <alignment horizontal="center" vertical="center" wrapText="1"/>
    </xf>
    <xf numFmtId="49" fontId="20" fillId="4" borderId="86" xfId="7" applyNumberFormat="1" applyFont="1" applyFill="1" applyBorder="1" applyAlignment="1" applyProtection="1">
      <alignment horizontal="center" vertical="center" wrapText="1"/>
      <protection locked="0"/>
    </xf>
    <xf numFmtId="49" fontId="20" fillId="4" borderId="83" xfId="7" applyNumberFormat="1" applyFont="1" applyFill="1" applyBorder="1" applyAlignment="1" applyProtection="1">
      <alignment horizontal="center" vertical="center" wrapText="1"/>
      <protection locked="0"/>
    </xf>
    <xf numFmtId="0" fontId="20" fillId="0" borderId="63" xfId="7" applyFont="1" applyBorder="1" applyAlignment="1" applyProtection="1">
      <alignment horizontal="left" vertical="center" wrapText="1"/>
      <protection locked="0"/>
    </xf>
    <xf numFmtId="0" fontId="20" fillId="0" borderId="24" xfId="7" applyFont="1" applyBorder="1" applyAlignment="1" applyProtection="1">
      <alignment horizontal="left" vertical="center" wrapText="1"/>
      <protection locked="0"/>
    </xf>
    <xf numFmtId="0" fontId="20" fillId="0" borderId="97" xfId="7" applyFont="1" applyBorder="1" applyAlignment="1" applyProtection="1">
      <alignment horizontal="left" vertical="center" wrapText="1"/>
      <protection locked="0"/>
    </xf>
    <xf numFmtId="0" fontId="20" fillId="5" borderId="175" xfId="7" applyFont="1" applyFill="1" applyBorder="1" applyAlignment="1" applyProtection="1">
      <alignment horizontal="left" vertical="center"/>
    </xf>
    <xf numFmtId="0" fontId="20" fillId="5" borderId="148" xfId="7" applyFont="1" applyFill="1" applyBorder="1" applyAlignment="1" applyProtection="1">
      <alignment horizontal="left" vertical="center"/>
    </xf>
    <xf numFmtId="0" fontId="20" fillId="5" borderId="210" xfId="7" applyFont="1" applyFill="1" applyBorder="1" applyAlignment="1" applyProtection="1">
      <alignment horizontal="left" vertical="center"/>
    </xf>
    <xf numFmtId="0" fontId="20" fillId="5" borderId="142" xfId="7" applyFont="1" applyFill="1" applyBorder="1" applyAlignment="1" applyProtection="1">
      <alignment horizontal="left" vertical="center" wrapText="1"/>
    </xf>
    <xf numFmtId="0" fontId="20" fillId="5" borderId="150" xfId="7" applyFont="1" applyFill="1" applyBorder="1" applyAlignment="1" applyProtection="1">
      <alignment horizontal="left" vertical="center" wrapText="1"/>
    </xf>
    <xf numFmtId="0" fontId="20" fillId="5" borderId="224" xfId="7" applyFont="1" applyFill="1" applyBorder="1" applyAlignment="1" applyProtection="1">
      <alignment horizontal="left" vertical="center" wrapText="1"/>
    </xf>
    <xf numFmtId="0" fontId="20" fillId="5" borderId="185" xfId="7" applyFont="1" applyFill="1" applyBorder="1" applyAlignment="1" applyProtection="1">
      <alignment horizontal="left" vertical="center"/>
    </xf>
    <xf numFmtId="0" fontId="20" fillId="5" borderId="192" xfId="7" applyFont="1" applyFill="1" applyBorder="1" applyAlignment="1" applyProtection="1">
      <alignment horizontal="left" vertical="center"/>
    </xf>
    <xf numFmtId="0" fontId="20" fillId="5" borderId="211" xfId="7" applyFont="1" applyFill="1" applyBorder="1" applyAlignment="1" applyProtection="1">
      <alignment horizontal="left" vertical="center"/>
    </xf>
    <xf numFmtId="0" fontId="31" fillId="0" borderId="55" xfId="7" applyFont="1" applyBorder="1" applyAlignment="1" applyProtection="1">
      <alignment horizontal="center" vertical="center"/>
    </xf>
    <xf numFmtId="0" fontId="31" fillId="0" borderId="54" xfId="7" applyFont="1" applyBorder="1" applyAlignment="1" applyProtection="1">
      <alignment horizontal="center" vertical="center"/>
    </xf>
    <xf numFmtId="0" fontId="31" fillId="0" borderId="71" xfId="7" applyFont="1" applyBorder="1" applyAlignment="1" applyProtection="1">
      <alignment horizontal="center" vertical="center"/>
    </xf>
    <xf numFmtId="0" fontId="20" fillId="7" borderId="231" xfId="7" applyFont="1" applyFill="1" applyBorder="1" applyAlignment="1" applyProtection="1">
      <alignment horizontal="center" vertical="center" wrapText="1"/>
    </xf>
    <xf numFmtId="0" fontId="20" fillId="7" borderId="176" xfId="7" applyFont="1" applyFill="1" applyBorder="1" applyAlignment="1" applyProtection="1">
      <alignment horizontal="center" vertical="center" wrapText="1"/>
    </xf>
    <xf numFmtId="0" fontId="20" fillId="7" borderId="55" xfId="7" applyFont="1" applyFill="1" applyBorder="1" applyAlignment="1" applyProtection="1">
      <alignment horizontal="center" vertical="center" wrapText="1"/>
    </xf>
    <xf numFmtId="0" fontId="20" fillId="7" borderId="194" xfId="7" applyFont="1" applyFill="1" applyBorder="1" applyAlignment="1" applyProtection="1">
      <alignment horizontal="left" vertical="center" wrapText="1"/>
    </xf>
    <xf numFmtId="0" fontId="20" fillId="7" borderId="207" xfId="7" applyFont="1" applyFill="1" applyBorder="1" applyAlignment="1" applyProtection="1">
      <alignment horizontal="left" vertical="center" wrapText="1"/>
    </xf>
    <xf numFmtId="0" fontId="20" fillId="7" borderId="177" xfId="7" applyFont="1" applyFill="1" applyBorder="1" applyAlignment="1" applyProtection="1">
      <alignment horizontal="left" vertical="center" wrapText="1"/>
    </xf>
    <xf numFmtId="0" fontId="20" fillId="7" borderId="181" xfId="7" applyFont="1" applyFill="1" applyBorder="1" applyAlignment="1" applyProtection="1">
      <alignment horizontal="center" vertical="center" wrapText="1"/>
    </xf>
    <xf numFmtId="0" fontId="20" fillId="7" borderId="100" xfId="7" applyFont="1" applyFill="1" applyBorder="1" applyAlignment="1" applyProtection="1">
      <alignment horizontal="center" vertical="center" wrapText="1"/>
    </xf>
    <xf numFmtId="0" fontId="20" fillId="7" borderId="163" xfId="7" applyFont="1" applyFill="1" applyBorder="1" applyAlignment="1" applyProtection="1">
      <alignment horizontal="center" vertical="center" wrapText="1"/>
    </xf>
    <xf numFmtId="0" fontId="20" fillId="7" borderId="179" xfId="7" applyFont="1" applyFill="1" applyBorder="1" applyAlignment="1" applyProtection="1">
      <alignment horizontal="center" vertical="center" wrapText="1"/>
    </xf>
    <xf numFmtId="0" fontId="20" fillId="4" borderId="80" xfId="7" applyFont="1" applyFill="1" applyBorder="1" applyAlignment="1" applyProtection="1">
      <alignment horizontal="center" vertical="center" wrapText="1"/>
      <protection locked="0"/>
    </xf>
    <xf numFmtId="0" fontId="20" fillId="4" borderId="86" xfId="7" applyFont="1" applyFill="1" applyBorder="1" applyAlignment="1" applyProtection="1">
      <alignment horizontal="center" vertical="center" wrapText="1"/>
      <protection locked="0"/>
    </xf>
    <xf numFmtId="0" fontId="20" fillId="4" borderId="83" xfId="7" applyFont="1" applyFill="1" applyBorder="1" applyAlignment="1" applyProtection="1">
      <alignment horizontal="center" vertical="center" wrapText="1"/>
      <protection locked="0"/>
    </xf>
    <xf numFmtId="0" fontId="20" fillId="5" borderId="238" xfId="7" applyFont="1" applyFill="1" applyBorder="1" applyAlignment="1" applyProtection="1">
      <alignment horizontal="center" vertical="center"/>
    </xf>
    <xf numFmtId="0" fontId="20" fillId="5" borderId="207" xfId="7" applyFont="1" applyFill="1" applyBorder="1" applyAlignment="1" applyProtection="1">
      <alignment horizontal="center" vertical="center"/>
    </xf>
    <xf numFmtId="0" fontId="20" fillId="0" borderId="66" xfId="7" applyFont="1" applyBorder="1" applyAlignment="1" applyProtection="1">
      <alignment horizontal="left" vertical="center" wrapText="1"/>
      <protection locked="0"/>
    </xf>
    <xf numFmtId="0" fontId="20" fillId="0" borderId="78" xfId="7" applyFont="1" applyBorder="1" applyAlignment="1" applyProtection="1">
      <alignment horizontal="left" vertical="center" wrapText="1"/>
      <protection locked="0"/>
    </xf>
    <xf numFmtId="0" fontId="20" fillId="5" borderId="2" xfId="7" applyFont="1" applyFill="1" applyBorder="1" applyAlignment="1" applyProtection="1">
      <alignment horizontal="left" vertical="center" wrapText="1"/>
    </xf>
    <xf numFmtId="0" fontId="20" fillId="5" borderId="56" xfId="7" applyFont="1" applyFill="1" applyBorder="1" applyAlignment="1" applyProtection="1">
      <alignment horizontal="left" vertical="center" wrapText="1"/>
    </xf>
    <xf numFmtId="49" fontId="20" fillId="0" borderId="91" xfId="7" applyNumberFormat="1" applyFont="1" applyBorder="1" applyAlignment="1" applyProtection="1">
      <alignment horizontal="left" vertical="center" wrapText="1"/>
      <protection locked="0"/>
    </xf>
    <xf numFmtId="49" fontId="20" fillId="0" borderId="5" xfId="7" applyNumberFormat="1" applyFont="1" applyBorder="1" applyAlignment="1" applyProtection="1">
      <alignment horizontal="left" vertical="center" wrapText="1"/>
      <protection locked="0"/>
    </xf>
    <xf numFmtId="49" fontId="20" fillId="0" borderId="6" xfId="7" applyNumberFormat="1" applyFont="1" applyBorder="1" applyAlignment="1" applyProtection="1">
      <alignment horizontal="left" vertical="center" wrapText="1"/>
      <protection locked="0"/>
    </xf>
    <xf numFmtId="49" fontId="20" fillId="0" borderId="63" xfId="7" applyNumberFormat="1" applyFont="1" applyBorder="1" applyAlignment="1" applyProtection="1">
      <alignment horizontal="left" vertical="center" wrapText="1"/>
      <protection locked="0"/>
    </xf>
    <xf numFmtId="49" fontId="20" fillId="0" borderId="24" xfId="7" applyNumberFormat="1" applyFont="1" applyBorder="1" applyAlignment="1" applyProtection="1">
      <alignment horizontal="left" vertical="center" wrapText="1"/>
      <protection locked="0"/>
    </xf>
    <xf numFmtId="49" fontId="20" fillId="0" borderId="97" xfId="7" applyNumberFormat="1" applyFont="1" applyBorder="1" applyAlignment="1" applyProtection="1">
      <alignment horizontal="left" vertical="center" wrapText="1"/>
      <protection locked="0"/>
    </xf>
    <xf numFmtId="0" fontId="5" fillId="3" borderId="13" xfId="7" applyFont="1" applyFill="1" applyBorder="1" applyAlignment="1" applyProtection="1">
      <alignment horizontal="left" vertical="center" wrapText="1"/>
    </xf>
    <xf numFmtId="0" fontId="5" fillId="3" borderId="7" xfId="7" applyFont="1" applyFill="1" applyBorder="1" applyAlignment="1" applyProtection="1">
      <alignment horizontal="left" vertical="center" wrapText="1"/>
    </xf>
    <xf numFmtId="0" fontId="5" fillId="3" borderId="14" xfId="7" applyFont="1" applyFill="1" applyBorder="1" applyAlignment="1" applyProtection="1">
      <alignment horizontal="left" vertical="center" wrapText="1"/>
    </xf>
    <xf numFmtId="0" fontId="20" fillId="7" borderId="162" xfId="7" applyFont="1" applyFill="1" applyBorder="1" applyAlignment="1" applyProtection="1">
      <alignment horizontal="center" vertical="center" wrapText="1"/>
    </xf>
    <xf numFmtId="0" fontId="20" fillId="0" borderId="86" xfId="7" applyFont="1" applyBorder="1" applyAlignment="1" applyProtection="1">
      <alignment horizontal="left" vertical="center" wrapText="1"/>
      <protection locked="0"/>
    </xf>
    <xf numFmtId="0" fontId="20" fillId="0" borderId="44" xfId="7" applyFont="1" applyBorder="1" applyAlignment="1" applyProtection="1">
      <alignment horizontal="left" vertical="center" wrapText="1"/>
      <protection locked="0"/>
    </xf>
    <xf numFmtId="0" fontId="20" fillId="0" borderId="114" xfId="7" applyFont="1" applyBorder="1" applyAlignment="1" applyProtection="1">
      <alignment horizontal="left" vertical="center" wrapText="1"/>
      <protection locked="0"/>
    </xf>
    <xf numFmtId="49" fontId="20" fillId="0" borderId="66" xfId="7" applyNumberFormat="1" applyFont="1" applyBorder="1" applyAlignment="1" applyProtection="1">
      <alignment horizontal="left" vertical="center" wrapText="1"/>
      <protection locked="0"/>
    </xf>
    <xf numFmtId="49" fontId="20" fillId="0" borderId="78" xfId="7" applyNumberFormat="1" applyFont="1" applyBorder="1" applyAlignment="1" applyProtection="1">
      <alignment horizontal="left" vertical="center" wrapText="1"/>
      <protection locked="0"/>
    </xf>
    <xf numFmtId="49" fontId="20" fillId="4" borderId="63" xfId="7" applyNumberFormat="1" applyFont="1" applyFill="1" applyBorder="1" applyAlignment="1" applyProtection="1">
      <alignment horizontal="center" vertical="center" wrapText="1"/>
      <protection locked="0"/>
    </xf>
    <xf numFmtId="49" fontId="20" fillId="4" borderId="97" xfId="7" applyNumberFormat="1" applyFont="1" applyFill="1" applyBorder="1" applyAlignment="1" applyProtection="1">
      <alignment horizontal="center" vertical="center" wrapText="1"/>
      <protection locked="0"/>
    </xf>
    <xf numFmtId="0" fontId="20" fillId="4" borderId="63" xfId="7" applyFont="1" applyFill="1" applyBorder="1" applyAlignment="1" applyProtection="1">
      <alignment horizontal="center" vertical="center" wrapText="1"/>
      <protection locked="0"/>
    </xf>
    <xf numFmtId="0" fontId="20" fillId="4" borderId="24" xfId="7" applyFont="1" applyFill="1" applyBorder="1" applyAlignment="1" applyProtection="1">
      <alignment horizontal="center" vertical="center" wrapText="1"/>
      <protection locked="0"/>
    </xf>
    <xf numFmtId="0" fontId="20" fillId="4" borderId="82" xfId="7" applyFont="1" applyFill="1" applyBorder="1" applyAlignment="1" applyProtection="1">
      <alignment horizontal="center" vertical="center" wrapText="1"/>
      <protection locked="0"/>
    </xf>
    <xf numFmtId="0" fontId="20" fillId="7" borderId="140" xfId="7" applyFont="1" applyFill="1" applyBorder="1" applyAlignment="1" applyProtection="1">
      <alignment horizontal="center" vertical="center" wrapText="1"/>
    </xf>
    <xf numFmtId="0" fontId="20" fillId="7" borderId="70" xfId="7" applyFont="1" applyFill="1" applyBorder="1" applyAlignment="1" applyProtection="1">
      <alignment horizontal="center" vertical="center" wrapText="1"/>
    </xf>
    <xf numFmtId="0" fontId="20" fillId="4" borderId="97" xfId="7" applyFont="1" applyFill="1" applyBorder="1" applyAlignment="1" applyProtection="1">
      <alignment horizontal="center" vertical="center" wrapText="1"/>
      <protection locked="0"/>
    </xf>
    <xf numFmtId="49" fontId="20" fillId="4" borderId="114" xfId="7" applyNumberFormat="1" applyFont="1" applyFill="1" applyBorder="1" applyAlignment="1" applyProtection="1">
      <alignment horizontal="center" vertical="center" wrapText="1"/>
      <protection locked="0"/>
    </xf>
    <xf numFmtId="0" fontId="31" fillId="0" borderId="4" xfId="7" applyFont="1" applyBorder="1" applyAlignment="1" applyProtection="1">
      <alignment horizontal="center" vertical="center"/>
    </xf>
    <xf numFmtId="0" fontId="31" fillId="0" borderId="5" xfId="7" applyFont="1" applyBorder="1" applyAlignment="1" applyProtection="1">
      <alignment horizontal="center" vertical="center"/>
    </xf>
    <xf numFmtId="0" fontId="31" fillId="0" borderId="6" xfId="7" applyFont="1" applyBorder="1" applyAlignment="1" applyProtection="1">
      <alignment horizontal="center" vertical="center"/>
    </xf>
    <xf numFmtId="49" fontId="20" fillId="4" borderId="82" xfId="7" applyNumberFormat="1" applyFont="1" applyFill="1" applyBorder="1" applyAlignment="1" applyProtection="1">
      <alignment horizontal="center" vertical="center" wrapText="1"/>
      <protection locked="0"/>
    </xf>
    <xf numFmtId="0" fontId="1" fillId="5" borderId="120" xfId="6" applyFill="1" applyBorder="1" applyAlignment="1" applyProtection="1">
      <alignment horizontal="center" vertical="center" wrapText="1"/>
    </xf>
    <xf numFmtId="0" fontId="1" fillId="5" borderId="117" xfId="6" applyFill="1" applyBorder="1" applyAlignment="1" applyProtection="1">
      <alignment horizontal="center" vertical="center" wrapText="1"/>
    </xf>
    <xf numFmtId="0" fontId="1" fillId="5" borderId="69" xfId="6" applyFill="1" applyBorder="1" applyAlignment="1" applyProtection="1">
      <alignment horizontal="center" vertical="center" wrapText="1"/>
    </xf>
    <xf numFmtId="0" fontId="20" fillId="7" borderId="185" xfId="7" applyFont="1" applyFill="1" applyBorder="1" applyAlignment="1" applyProtection="1">
      <alignment horizontal="center" vertical="center" wrapText="1"/>
    </xf>
    <xf numFmtId="0" fontId="20" fillId="7" borderId="211" xfId="7" applyFont="1" applyFill="1" applyBorder="1" applyAlignment="1" applyProtection="1">
      <alignment horizontal="center" vertical="center" wrapText="1"/>
    </xf>
    <xf numFmtId="0" fontId="1" fillId="0" borderId="116" xfId="6" applyBorder="1" applyAlignment="1" applyProtection="1">
      <alignment horizontal="left" vertical="center" wrapText="1"/>
      <protection locked="0"/>
    </xf>
    <xf numFmtId="0" fontId="1" fillId="0" borderId="117" xfId="6" applyBorder="1" applyAlignment="1" applyProtection="1">
      <alignment horizontal="left" vertical="center" wrapText="1"/>
      <protection locked="0"/>
    </xf>
    <xf numFmtId="0" fontId="1" fillId="0" borderId="118" xfId="6" applyBorder="1" applyAlignment="1" applyProtection="1">
      <alignment horizontal="left" vertical="center" wrapText="1"/>
      <protection locked="0"/>
    </xf>
    <xf numFmtId="0" fontId="6" fillId="3" borderId="7" xfId="7" applyFont="1" applyFill="1" applyBorder="1" applyAlignment="1" applyProtection="1">
      <alignment horizontal="left" vertical="center" wrapText="1"/>
    </xf>
    <xf numFmtId="0" fontId="6" fillId="3" borderId="14" xfId="7" applyFont="1" applyFill="1" applyBorder="1" applyAlignment="1" applyProtection="1">
      <alignment horizontal="left" vertical="center" wrapText="1"/>
    </xf>
    <xf numFmtId="0" fontId="20" fillId="7" borderId="3" xfId="7" applyFont="1" applyFill="1" applyBorder="1" applyAlignment="1" applyProtection="1">
      <alignment horizontal="center" vertical="center" wrapText="1"/>
    </xf>
    <xf numFmtId="0" fontId="20" fillId="5" borderId="203" xfId="7" applyFont="1" applyFill="1" applyBorder="1" applyAlignment="1" applyProtection="1">
      <alignment horizontal="left" vertical="center" wrapText="1"/>
    </xf>
    <xf numFmtId="0" fontId="20" fillId="7" borderId="1" xfId="7" applyFont="1" applyFill="1" applyBorder="1" applyAlignment="1" applyProtection="1">
      <alignment horizontal="center" vertical="center" wrapText="1"/>
    </xf>
    <xf numFmtId="0" fontId="20" fillId="5" borderId="185" xfId="7" applyFont="1" applyFill="1" applyBorder="1" applyAlignment="1" applyProtection="1">
      <alignment horizontal="left" vertical="center" wrapText="1"/>
    </xf>
    <xf numFmtId="0" fontId="20" fillId="5" borderId="192" xfId="7" applyFont="1" applyFill="1" applyBorder="1" applyAlignment="1" applyProtection="1">
      <alignment horizontal="left" vertical="center" wrapText="1"/>
    </xf>
    <xf numFmtId="0" fontId="20" fillId="5" borderId="211" xfId="7" applyFont="1" applyFill="1" applyBorder="1" applyAlignment="1" applyProtection="1">
      <alignment horizontal="left" vertical="center" wrapText="1"/>
    </xf>
    <xf numFmtId="0" fontId="2" fillId="7" borderId="140" xfId="3" applyFill="1" applyBorder="1" applyAlignment="1" applyProtection="1">
      <alignment horizontal="center" vertical="center" wrapText="1"/>
    </xf>
    <xf numFmtId="0" fontId="2" fillId="7" borderId="70" xfId="3" applyFill="1" applyBorder="1" applyAlignment="1" applyProtection="1">
      <alignment horizontal="center" vertical="center" wrapText="1"/>
    </xf>
    <xf numFmtId="0" fontId="20" fillId="4" borderId="114" xfId="7" applyFont="1" applyFill="1" applyBorder="1" applyAlignment="1" applyProtection="1">
      <alignment horizontal="center" vertical="center" wrapText="1"/>
      <protection locked="0"/>
    </xf>
    <xf numFmtId="0" fontId="20" fillId="4" borderId="44" xfId="7" applyFont="1" applyFill="1" applyBorder="1" applyAlignment="1" applyProtection="1">
      <alignment horizontal="center" vertical="center" wrapText="1"/>
      <protection locked="0"/>
    </xf>
    <xf numFmtId="0" fontId="2" fillId="7" borderId="119" xfId="3" applyFill="1" applyBorder="1" applyAlignment="1" applyProtection="1">
      <alignment horizontal="center" vertical="top" wrapText="1"/>
    </xf>
    <xf numFmtId="0" fontId="2" fillId="7" borderId="70" xfId="3" applyFill="1" applyBorder="1" applyAlignment="1" applyProtection="1">
      <alignment horizontal="center" vertical="top" wrapText="1"/>
    </xf>
    <xf numFmtId="0" fontId="1" fillId="7" borderId="203" xfId="7" applyFont="1" applyFill="1" applyBorder="1" applyAlignment="1" applyProtection="1">
      <alignment horizontal="left" vertical="center" wrapText="1"/>
    </xf>
    <xf numFmtId="0" fontId="1" fillId="7" borderId="2" xfId="7" applyFont="1" applyFill="1" applyBorder="1" applyAlignment="1" applyProtection="1">
      <alignment horizontal="left" vertical="center" wrapText="1"/>
    </xf>
    <xf numFmtId="0" fontId="1" fillId="7" borderId="56" xfId="7" applyFont="1" applyFill="1" applyBorder="1" applyAlignment="1" applyProtection="1">
      <alignment horizontal="left" vertical="center" wrapText="1"/>
    </xf>
    <xf numFmtId="0" fontId="20" fillId="5" borderId="175" xfId="7" applyFont="1" applyFill="1" applyBorder="1" applyAlignment="1" applyProtection="1">
      <alignment horizontal="left" vertical="center" wrapText="1"/>
    </xf>
    <xf numFmtId="0" fontId="20" fillId="5" borderId="148" xfId="7" applyFont="1" applyFill="1" applyBorder="1" applyAlignment="1" applyProtection="1">
      <alignment horizontal="left" vertical="center" wrapText="1"/>
    </xf>
    <xf numFmtId="0" fontId="20" fillId="5" borderId="210" xfId="7" applyFont="1" applyFill="1" applyBorder="1" applyAlignment="1" applyProtection="1">
      <alignment horizontal="left" vertical="center" wrapText="1"/>
    </xf>
    <xf numFmtId="0" fontId="20" fillId="5" borderId="194" xfId="7" applyFont="1" applyFill="1" applyBorder="1" applyAlignment="1" applyProtection="1">
      <alignment horizontal="left" vertical="center" wrapText="1"/>
    </xf>
    <xf numFmtId="0" fontId="20" fillId="5" borderId="207" xfId="7" applyFont="1" applyFill="1" applyBorder="1" applyAlignment="1" applyProtection="1">
      <alignment horizontal="left" vertical="center" wrapText="1"/>
    </xf>
    <xf numFmtId="0" fontId="20" fillId="5" borderId="177" xfId="7" applyFont="1" applyFill="1" applyBorder="1" applyAlignment="1" applyProtection="1">
      <alignment horizontal="left" vertical="center" wrapText="1"/>
    </xf>
    <xf numFmtId="0" fontId="1" fillId="5" borderId="183" xfId="7" applyFont="1" applyFill="1" applyBorder="1" applyAlignment="1" applyProtection="1">
      <alignment horizontal="left" vertical="center" wrapText="1"/>
    </xf>
    <xf numFmtId="0" fontId="1" fillId="5" borderId="148" xfId="7" applyFont="1" applyFill="1" applyBorder="1" applyAlignment="1" applyProtection="1">
      <alignment horizontal="left" vertical="center" wrapText="1"/>
    </xf>
    <xf numFmtId="0" fontId="1" fillId="5" borderId="210" xfId="7" applyFont="1" applyFill="1" applyBorder="1" applyAlignment="1" applyProtection="1">
      <alignment horizontal="left" vertical="center" wrapText="1"/>
    </xf>
    <xf numFmtId="0" fontId="1" fillId="5" borderId="0" xfId="7" applyFont="1" applyFill="1" applyBorder="1" applyAlignment="1" applyProtection="1">
      <alignment horizontal="left" vertical="center" wrapText="1"/>
    </xf>
    <xf numFmtId="0" fontId="1" fillId="5" borderId="70" xfId="7" applyFont="1" applyFill="1" applyBorder="1" applyAlignment="1" applyProtection="1">
      <alignment horizontal="left" vertical="center" wrapText="1"/>
    </xf>
    <xf numFmtId="0" fontId="5" fillId="3" borderId="13" xfId="7" applyFont="1" applyFill="1" applyBorder="1" applyAlignment="1" applyProtection="1">
      <alignment horizontal="center" vertical="center" wrapText="1"/>
    </xf>
    <xf numFmtId="0" fontId="5" fillId="3" borderId="7" xfId="7" applyFont="1" applyFill="1" applyBorder="1" applyAlignment="1" applyProtection="1">
      <alignment horizontal="center" vertical="center" wrapText="1"/>
    </xf>
    <xf numFmtId="0" fontId="5" fillId="3" borderId="14" xfId="7" applyFont="1" applyFill="1" applyBorder="1" applyAlignment="1" applyProtection="1">
      <alignment horizontal="center" vertical="center" wrapText="1"/>
    </xf>
    <xf numFmtId="0" fontId="1" fillId="5" borderId="242" xfId="7" applyFont="1" applyFill="1" applyBorder="1" applyAlignment="1" applyProtection="1">
      <alignment horizontal="left" vertical="center" wrapText="1"/>
    </xf>
    <xf numFmtId="0" fontId="1" fillId="5" borderId="175" xfId="7" applyFont="1" applyFill="1" applyBorder="1" applyAlignment="1" applyProtection="1">
      <alignment horizontal="center" vertical="center" wrapText="1"/>
    </xf>
    <xf numFmtId="0" fontId="1" fillId="5" borderId="148" xfId="7" applyFont="1" applyFill="1" applyBorder="1" applyAlignment="1" applyProtection="1">
      <alignment horizontal="center" vertical="center" wrapText="1"/>
    </xf>
    <xf numFmtId="0" fontId="1" fillId="5" borderId="243" xfId="7" applyFont="1" applyFill="1" applyBorder="1" applyAlignment="1" applyProtection="1">
      <alignment horizontal="center" vertical="center" wrapText="1"/>
    </xf>
    <xf numFmtId="0" fontId="1" fillId="0" borderId="86" xfId="7" applyFont="1" applyFill="1" applyBorder="1" applyAlignment="1" applyProtection="1">
      <alignment horizontal="center" vertical="center" wrapText="1"/>
      <protection locked="0"/>
    </xf>
    <xf numFmtId="0" fontId="1" fillId="0" borderId="83" xfId="7" applyFont="1" applyFill="1" applyBorder="1" applyAlignment="1" applyProtection="1">
      <alignment horizontal="center" vertical="center" wrapText="1"/>
      <protection locked="0"/>
    </xf>
    <xf numFmtId="0" fontId="1" fillId="5" borderId="239" xfId="7" applyFont="1" applyFill="1" applyBorder="1" applyAlignment="1" applyProtection="1">
      <alignment horizontal="left" vertical="center" wrapText="1"/>
    </xf>
    <xf numFmtId="0" fontId="1" fillId="5" borderId="192" xfId="7" applyFont="1" applyFill="1" applyBorder="1" applyAlignment="1" applyProtection="1">
      <alignment horizontal="left" vertical="center" wrapText="1"/>
    </xf>
    <xf numFmtId="0" fontId="6" fillId="3" borderId="2" xfId="7" applyFont="1" applyFill="1" applyBorder="1" applyAlignment="1" applyProtection="1">
      <alignment horizontal="left" vertical="center" wrapText="1"/>
    </xf>
    <xf numFmtId="0" fontId="1" fillId="10" borderId="1" xfId="7" applyFont="1" applyFill="1" applyBorder="1" applyAlignment="1" applyProtection="1">
      <alignment horizontal="center" vertical="center" wrapText="1"/>
    </xf>
    <xf numFmtId="0" fontId="1" fillId="10" borderId="3" xfId="7" applyFont="1" applyFill="1" applyBorder="1" applyAlignment="1" applyProtection="1">
      <alignment horizontal="center" vertical="center" wrapText="1"/>
    </xf>
    <xf numFmtId="0" fontId="1" fillId="10" borderId="55" xfId="7" applyFont="1" applyFill="1" applyBorder="1" applyAlignment="1" applyProtection="1">
      <alignment horizontal="center" vertical="center" wrapText="1"/>
    </xf>
    <xf numFmtId="0" fontId="1" fillId="5" borderId="194" xfId="7" applyFont="1" applyFill="1" applyBorder="1" applyAlignment="1" applyProtection="1">
      <alignment horizontal="left" vertical="center" wrapText="1"/>
    </xf>
    <xf numFmtId="0" fontId="1" fillId="5" borderId="207" xfId="7" applyFont="1" applyFill="1" applyBorder="1" applyAlignment="1" applyProtection="1">
      <alignment horizontal="left" vertical="center" wrapText="1"/>
    </xf>
    <xf numFmtId="0" fontId="1" fillId="5" borderId="177" xfId="7" applyFont="1" applyFill="1" applyBorder="1" applyAlignment="1" applyProtection="1">
      <alignment horizontal="left" vertical="center" wrapText="1"/>
    </xf>
    <xf numFmtId="0" fontId="1" fillId="5" borderId="240" xfId="7" applyFont="1" applyFill="1" applyBorder="1" applyAlignment="1" applyProtection="1">
      <alignment horizontal="left" vertical="center" wrapText="1"/>
    </xf>
    <xf numFmtId="0" fontId="1" fillId="5" borderId="150" xfId="7" applyFont="1" applyFill="1" applyBorder="1" applyAlignment="1" applyProtection="1">
      <alignment horizontal="left" vertical="center" wrapText="1"/>
    </xf>
    <xf numFmtId="0" fontId="1" fillId="5" borderId="224" xfId="7" applyFont="1" applyFill="1" applyBorder="1" applyAlignment="1" applyProtection="1">
      <alignment horizontal="left" vertical="center" wrapText="1"/>
    </xf>
    <xf numFmtId="0" fontId="1" fillId="5" borderId="1" xfId="7" applyFont="1" applyFill="1" applyBorder="1" applyAlignment="1" applyProtection="1">
      <alignment horizontal="center" vertical="center" wrapText="1"/>
    </xf>
    <xf numFmtId="0" fontId="1" fillId="5" borderId="55" xfId="7" applyFont="1" applyFill="1" applyBorder="1" applyAlignment="1" applyProtection="1">
      <alignment horizontal="center" vertical="center" wrapText="1"/>
    </xf>
    <xf numFmtId="0" fontId="1" fillId="5" borderId="194" xfId="7" applyFont="1" applyFill="1" applyBorder="1" applyAlignment="1" applyProtection="1">
      <alignment horizontal="left" vertical="center"/>
    </xf>
    <xf numFmtId="0" fontId="1" fillId="5" borderId="207" xfId="7" applyFont="1" applyFill="1" applyBorder="1" applyAlignment="1" applyProtection="1">
      <alignment horizontal="left" vertical="center"/>
    </xf>
    <xf numFmtId="0" fontId="1" fillId="5" borderId="241" xfId="7" applyFont="1" applyFill="1" applyBorder="1" applyAlignment="1" applyProtection="1">
      <alignment horizontal="left" vertical="center"/>
    </xf>
    <xf numFmtId="0" fontId="1" fillId="5" borderId="142" xfId="7" applyFont="1" applyFill="1" applyBorder="1" applyAlignment="1" applyProtection="1">
      <alignment horizontal="left" vertical="center"/>
    </xf>
    <xf numFmtId="0" fontId="1" fillId="5" borderId="150" xfId="7" applyFont="1" applyFill="1" applyBorder="1" applyAlignment="1" applyProtection="1">
      <alignment horizontal="left" vertical="center"/>
    </xf>
    <xf numFmtId="0" fontId="1" fillId="5" borderId="224" xfId="7" applyFont="1" applyFill="1" applyBorder="1" applyAlignment="1" applyProtection="1">
      <alignment horizontal="left" vertical="center"/>
    </xf>
    <xf numFmtId="0" fontId="1" fillId="5" borderId="43" xfId="6" applyFont="1" applyFill="1" applyBorder="1" applyAlignment="1" applyProtection="1">
      <alignment horizontal="center" vertical="center" wrapText="1"/>
    </xf>
    <xf numFmtId="0" fontId="1" fillId="5" borderId="72" xfId="6" applyFont="1" applyFill="1" applyBorder="1" applyAlignment="1" applyProtection="1">
      <alignment horizontal="center" vertical="center" wrapText="1"/>
    </xf>
    <xf numFmtId="0" fontId="1" fillId="0" borderId="63" xfId="6" applyBorder="1" applyAlignment="1" applyProtection="1">
      <alignment horizontal="center" vertical="center" wrapText="1"/>
      <protection locked="0"/>
    </xf>
    <xf numFmtId="0" fontId="1" fillId="0" borderId="24" xfId="6" applyBorder="1" applyAlignment="1" applyProtection="1">
      <alignment horizontal="center" vertical="center" wrapText="1"/>
      <protection locked="0"/>
    </xf>
    <xf numFmtId="0" fontId="1" fillId="5" borderId="45" xfId="6" applyFill="1" applyBorder="1" applyAlignment="1" applyProtection="1">
      <alignment horizontal="left" vertical="center" wrapText="1"/>
    </xf>
    <xf numFmtId="0" fontId="1" fillId="5" borderId="110" xfId="6" applyFill="1" applyBorder="1" applyAlignment="1" applyProtection="1">
      <alignment horizontal="left" vertical="center" wrapText="1"/>
    </xf>
    <xf numFmtId="0" fontId="1" fillId="0" borderId="63" xfId="6" applyBorder="1" applyAlignment="1" applyProtection="1">
      <alignment horizontal="left" vertical="center" wrapText="1"/>
      <protection locked="0"/>
    </xf>
    <xf numFmtId="0" fontId="1" fillId="0" borderId="82" xfId="6" applyBorder="1" applyAlignment="1" applyProtection="1">
      <alignment horizontal="left" vertical="center" wrapText="1"/>
      <protection locked="0"/>
    </xf>
    <xf numFmtId="0" fontId="1" fillId="5" borderId="248" xfId="6" applyFill="1" applyBorder="1" applyAlignment="1" applyProtection="1">
      <alignment horizontal="left" vertical="center" wrapText="1"/>
    </xf>
    <xf numFmtId="0" fontId="1" fillId="5" borderId="165" xfId="6" applyFill="1" applyBorder="1" applyAlignment="1" applyProtection="1">
      <alignment horizontal="left" vertical="center" wrapText="1"/>
    </xf>
    <xf numFmtId="0" fontId="4" fillId="5" borderId="249" xfId="6" applyFont="1" applyFill="1" applyBorder="1" applyAlignment="1" applyProtection="1">
      <alignment horizontal="center" vertical="center"/>
    </xf>
    <xf numFmtId="0" fontId="4" fillId="5" borderId="220" xfId="6" applyFont="1" applyFill="1" applyBorder="1" applyAlignment="1" applyProtection="1">
      <alignment horizontal="center" vertical="center"/>
    </xf>
    <xf numFmtId="0" fontId="4" fillId="5" borderId="0" xfId="6" applyFont="1" applyFill="1" applyBorder="1" applyAlignment="1" applyProtection="1">
      <alignment horizontal="center" vertical="center"/>
    </xf>
    <xf numFmtId="0" fontId="4" fillId="5" borderId="250" xfId="6" applyFont="1" applyFill="1" applyBorder="1" applyAlignment="1" applyProtection="1">
      <alignment horizontal="center" vertical="center"/>
    </xf>
    <xf numFmtId="0" fontId="1" fillId="0" borderId="66" xfId="6" applyBorder="1" applyAlignment="1" applyProtection="1">
      <alignment horizontal="center" vertical="center" wrapText="1"/>
      <protection locked="0"/>
    </xf>
    <xf numFmtId="0" fontId="1" fillId="5" borderId="1" xfId="6" applyFill="1" applyBorder="1" applyAlignment="1" applyProtection="1">
      <alignment horizontal="center" vertical="center" wrapText="1"/>
    </xf>
    <xf numFmtId="0" fontId="1" fillId="5" borderId="3" xfId="6" applyFill="1" applyBorder="1" applyAlignment="1" applyProtection="1">
      <alignment horizontal="center" vertical="center" wrapText="1"/>
    </xf>
    <xf numFmtId="0" fontId="1" fillId="5" borderId="27" xfId="6" applyFill="1" applyBorder="1" applyAlignment="1" applyProtection="1">
      <alignment horizontal="center" vertical="center" wrapText="1"/>
    </xf>
    <xf numFmtId="0" fontId="1" fillId="5" borderId="42" xfId="6" applyFill="1" applyBorder="1" applyAlignment="1" applyProtection="1">
      <alignment horizontal="center" vertical="center" wrapText="1"/>
    </xf>
    <xf numFmtId="0" fontId="1" fillId="0" borderId="66" xfId="6" applyBorder="1" applyAlignment="1" applyProtection="1">
      <alignment vertical="center" wrapText="1"/>
      <protection locked="0"/>
    </xf>
    <xf numFmtId="0" fontId="1" fillId="5" borderId="16" xfId="6" applyFont="1" applyFill="1" applyBorder="1" applyAlignment="1" applyProtection="1">
      <alignment horizontal="center" vertical="center" wrapText="1"/>
    </xf>
    <xf numFmtId="0" fontId="1" fillId="5" borderId="48" xfId="6" applyFont="1" applyFill="1" applyBorder="1" applyAlignment="1" applyProtection="1">
      <alignment horizontal="center" vertical="center" wrapText="1"/>
    </xf>
    <xf numFmtId="0" fontId="1" fillId="5" borderId="246" xfId="6" applyFont="1" applyFill="1" applyBorder="1" applyAlignment="1" applyProtection="1">
      <alignment horizontal="center" vertical="center" wrapText="1"/>
    </xf>
    <xf numFmtId="0" fontId="1" fillId="5" borderId="247" xfId="6" applyFont="1" applyFill="1" applyBorder="1" applyAlignment="1" applyProtection="1">
      <alignment horizontal="center" vertical="center" wrapText="1"/>
    </xf>
    <xf numFmtId="0" fontId="1" fillId="5" borderId="61" xfId="6" applyFont="1" applyFill="1" applyBorder="1" applyAlignment="1" applyProtection="1">
      <alignment horizontal="center" vertical="center" wrapText="1"/>
    </xf>
    <xf numFmtId="0" fontId="1" fillId="0" borderId="82" xfId="6" applyBorder="1" applyAlignment="1" applyProtection="1">
      <alignment horizontal="center" vertical="center" wrapText="1"/>
      <protection locked="0"/>
    </xf>
    <xf numFmtId="0" fontId="1" fillId="5" borderId="244" xfId="6" applyFill="1" applyBorder="1" applyAlignment="1" applyProtection="1">
      <alignment horizontal="left" vertical="center" wrapText="1"/>
    </xf>
    <xf numFmtId="0" fontId="1" fillId="5" borderId="245" xfId="6" applyFill="1" applyBorder="1" applyAlignment="1" applyProtection="1">
      <alignment horizontal="left" vertical="center" wrapText="1"/>
    </xf>
    <xf numFmtId="0" fontId="5" fillId="3" borderId="3" xfId="6" applyFont="1" applyFill="1" applyBorder="1" applyAlignment="1" applyProtection="1">
      <alignment horizontal="left" vertical="center"/>
    </xf>
    <xf numFmtId="0" fontId="5" fillId="3" borderId="0" xfId="6" applyFont="1" applyFill="1" applyBorder="1" applyAlignment="1" applyProtection="1">
      <alignment horizontal="left" vertical="center"/>
    </xf>
    <xf numFmtId="0" fontId="5" fillId="3" borderId="8" xfId="6" applyFont="1" applyFill="1" applyBorder="1" applyAlignment="1" applyProtection="1">
      <alignment horizontal="left" vertical="center"/>
    </xf>
    <xf numFmtId="0" fontId="1" fillId="5" borderId="26" xfId="6" applyFill="1" applyBorder="1" applyAlignment="1" applyProtection="1">
      <alignment horizontal="left" vertical="center" wrapText="1"/>
    </xf>
    <xf numFmtId="0" fontId="1" fillId="5" borderId="166" xfId="6" applyFill="1" applyBorder="1" applyAlignment="1" applyProtection="1">
      <alignment horizontal="left" vertical="center" wrapText="1"/>
    </xf>
    <xf numFmtId="0" fontId="4" fillId="5" borderId="194" xfId="6" applyFont="1" applyFill="1" applyBorder="1" applyAlignment="1" applyProtection="1">
      <alignment horizontal="center" vertical="center"/>
    </xf>
    <xf numFmtId="0" fontId="4" fillId="5" borderId="207" xfId="6" applyFont="1" applyFill="1" applyBorder="1" applyAlignment="1" applyProtection="1">
      <alignment horizontal="center" vertical="center"/>
    </xf>
    <xf numFmtId="0" fontId="4" fillId="5" borderId="2" xfId="6" applyFont="1" applyFill="1" applyBorder="1" applyAlignment="1" applyProtection="1">
      <alignment horizontal="center" vertical="center"/>
    </xf>
    <xf numFmtId="0" fontId="4" fillId="5" borderId="177" xfId="6" applyFont="1" applyFill="1" applyBorder="1" applyAlignment="1" applyProtection="1">
      <alignment horizontal="center" vertical="center"/>
    </xf>
    <xf numFmtId="0" fontId="1" fillId="0" borderId="80" xfId="6" applyBorder="1" applyAlignment="1" applyProtection="1">
      <alignment horizontal="center" vertical="center" wrapText="1"/>
      <protection locked="0"/>
    </xf>
    <xf numFmtId="0" fontId="1" fillId="0" borderId="80" xfId="6" applyBorder="1" applyAlignment="1" applyProtection="1">
      <alignment vertical="center" wrapText="1"/>
      <protection locked="0"/>
    </xf>
    <xf numFmtId="0" fontId="2" fillId="0" borderId="4" xfId="3" applyBorder="1" applyAlignment="1" applyProtection="1">
      <alignment horizontal="left"/>
    </xf>
    <xf numFmtId="0" fontId="2" fillId="0" borderId="5" xfId="3" applyBorder="1" applyAlignment="1" applyProtection="1">
      <alignment horizontal="left"/>
    </xf>
    <xf numFmtId="0" fontId="1" fillId="5" borderId="122" xfId="6" applyFill="1" applyBorder="1" applyAlignment="1" applyProtection="1">
      <alignment horizontal="center" vertical="center" wrapText="1"/>
    </xf>
    <xf numFmtId="0" fontId="1" fillId="5" borderId="100" xfId="6" applyFill="1" applyBorder="1" applyAlignment="1" applyProtection="1">
      <alignment horizontal="center" vertical="center" wrapText="1"/>
    </xf>
    <xf numFmtId="0" fontId="1" fillId="5" borderId="123" xfId="6" applyFill="1" applyBorder="1" applyAlignment="1" applyProtection="1">
      <alignment horizontal="center" vertical="center" wrapText="1"/>
    </xf>
    <xf numFmtId="0" fontId="1" fillId="5" borderId="252" xfId="8" applyFont="1" applyFill="1" applyBorder="1" applyAlignment="1" applyProtection="1">
      <alignment horizontal="center" vertical="center" wrapText="1"/>
    </xf>
    <xf numFmtId="0" fontId="1" fillId="5" borderId="180" xfId="8" applyFont="1" applyFill="1" applyBorder="1" applyAlignment="1" applyProtection="1">
      <alignment horizontal="center" vertical="center" wrapText="1"/>
    </xf>
    <xf numFmtId="0" fontId="1" fillId="0" borderId="116" xfId="8" applyFont="1" applyFill="1" applyBorder="1" applyAlignment="1" applyProtection="1">
      <alignment horizontal="center" vertical="center" wrapText="1"/>
      <protection locked="0"/>
    </xf>
    <xf numFmtId="0" fontId="1" fillId="0" borderId="117" xfId="8" applyFont="1" applyFill="1" applyBorder="1" applyAlignment="1" applyProtection="1">
      <alignment horizontal="center" vertical="center" wrapText="1"/>
      <protection locked="0"/>
    </xf>
    <xf numFmtId="0" fontId="1" fillId="0" borderId="118" xfId="8" applyFont="1" applyFill="1" applyBorder="1" applyAlignment="1" applyProtection="1">
      <alignment horizontal="center" vertical="center" wrapText="1"/>
      <protection locked="0"/>
    </xf>
    <xf numFmtId="0" fontId="1" fillId="4" borderId="63" xfId="8" applyFont="1" applyFill="1" applyBorder="1" applyAlignment="1" applyProtection="1">
      <alignment horizontal="center" vertical="center" wrapText="1"/>
      <protection locked="0"/>
    </xf>
    <xf numFmtId="0" fontId="1" fillId="4" borderId="82" xfId="8" applyFont="1" applyFill="1" applyBorder="1" applyAlignment="1" applyProtection="1">
      <alignment horizontal="center" vertical="center" wrapText="1"/>
      <protection locked="0"/>
    </xf>
    <xf numFmtId="0" fontId="1" fillId="5" borderId="198" xfId="8" applyFont="1" applyFill="1" applyBorder="1" applyAlignment="1" applyProtection="1">
      <alignment horizontal="left" vertical="center" wrapText="1"/>
    </xf>
    <xf numFmtId="0" fontId="1" fillId="5" borderId="54" xfId="8" applyFont="1" applyFill="1" applyBorder="1" applyAlignment="1" applyProtection="1">
      <alignment horizontal="left" vertical="center" wrapText="1"/>
    </xf>
    <xf numFmtId="0" fontId="1" fillId="5" borderId="71" xfId="8" applyFont="1" applyFill="1" applyBorder="1" applyAlignment="1" applyProtection="1">
      <alignment horizontal="left" vertical="center" wrapText="1"/>
    </xf>
    <xf numFmtId="0" fontId="5" fillId="3" borderId="3" xfId="8" applyFont="1" applyFill="1" applyBorder="1" applyAlignment="1" applyProtection="1">
      <alignment horizontal="center" vertical="center" wrapText="1"/>
    </xf>
    <xf numFmtId="0" fontId="5" fillId="3" borderId="0" xfId="8" applyFont="1" applyFill="1" applyBorder="1" applyAlignment="1" applyProtection="1">
      <alignment horizontal="center" vertical="center" wrapText="1"/>
    </xf>
    <xf numFmtId="0" fontId="5" fillId="3" borderId="8" xfId="8" applyFont="1" applyFill="1" applyBorder="1" applyAlignment="1" applyProtection="1">
      <alignment horizontal="center" vertical="center" wrapText="1"/>
    </xf>
    <xf numFmtId="0" fontId="1" fillId="5" borderId="213" xfId="8" applyFont="1" applyFill="1" applyBorder="1" applyAlignment="1" applyProtection="1">
      <alignment horizontal="center" vertical="center" wrapText="1"/>
    </xf>
    <xf numFmtId="0" fontId="1" fillId="5" borderId="253" xfId="8" applyFont="1" applyFill="1" applyBorder="1" applyAlignment="1" applyProtection="1">
      <alignment horizontal="center" vertical="center" wrapText="1"/>
    </xf>
    <xf numFmtId="0" fontId="1" fillId="5" borderId="254" xfId="8" applyFont="1" applyFill="1" applyBorder="1" applyAlignment="1" applyProtection="1">
      <alignment horizontal="center" vertical="center" wrapText="1"/>
    </xf>
    <xf numFmtId="0" fontId="1" fillId="5" borderId="193" xfId="8" applyFont="1" applyFill="1" applyBorder="1" applyAlignment="1" applyProtection="1">
      <alignment horizontal="center" vertical="center" wrapText="1"/>
    </xf>
    <xf numFmtId="0" fontId="1" fillId="5" borderId="175" xfId="8" applyFont="1" applyFill="1" applyBorder="1" applyAlignment="1" applyProtection="1">
      <alignment horizontal="left" vertical="center"/>
    </xf>
    <xf numFmtId="0" fontId="1" fillId="5" borderId="210" xfId="8" applyFont="1" applyFill="1" applyBorder="1" applyAlignment="1" applyProtection="1">
      <alignment horizontal="left" vertical="center"/>
    </xf>
    <xf numFmtId="0" fontId="1" fillId="5" borderId="185" xfId="8" applyFont="1" applyFill="1" applyBorder="1" applyAlignment="1" applyProtection="1">
      <alignment horizontal="left" vertical="center"/>
    </xf>
    <xf numFmtId="0" fontId="1" fillId="5" borderId="211" xfId="8" applyFont="1" applyFill="1" applyBorder="1" applyAlignment="1" applyProtection="1">
      <alignment horizontal="left" vertical="center"/>
    </xf>
    <xf numFmtId="0" fontId="5" fillId="3" borderId="3" xfId="8" applyFont="1" applyFill="1" applyBorder="1" applyAlignment="1" applyProtection="1">
      <alignment horizontal="left" vertical="center"/>
    </xf>
    <xf numFmtId="0" fontId="5" fillId="3" borderId="0" xfId="8" applyFont="1" applyFill="1" applyBorder="1" applyAlignment="1" applyProtection="1">
      <alignment horizontal="left" vertical="center"/>
    </xf>
    <xf numFmtId="0" fontId="5" fillId="3" borderId="8" xfId="8" applyFont="1" applyFill="1" applyBorder="1" applyAlignment="1" applyProtection="1">
      <alignment horizontal="left" vertical="center"/>
    </xf>
    <xf numFmtId="0" fontId="1" fillId="0" borderId="66" xfId="8" applyFont="1" applyFill="1" applyBorder="1" applyAlignment="1" applyProtection="1">
      <alignment horizontal="left" vertical="center" wrapText="1"/>
      <protection locked="0"/>
    </xf>
    <xf numFmtId="0" fontId="1" fillId="0" borderId="78" xfId="8" applyFont="1" applyFill="1" applyBorder="1" applyAlignment="1" applyProtection="1">
      <alignment horizontal="left" vertical="center" wrapText="1"/>
      <protection locked="0"/>
    </xf>
    <xf numFmtId="0" fontId="1" fillId="0" borderId="63" xfId="8" applyFont="1" applyFill="1" applyBorder="1" applyAlignment="1" applyProtection="1">
      <alignment horizontal="left" vertical="center" wrapText="1"/>
      <protection locked="0"/>
    </xf>
    <xf numFmtId="0" fontId="1" fillId="0" borderId="24" xfId="8" applyFont="1" applyFill="1" applyBorder="1" applyAlignment="1" applyProtection="1">
      <alignment horizontal="left" vertical="center" wrapText="1"/>
      <protection locked="0"/>
    </xf>
    <xf numFmtId="0" fontId="1" fillId="0" borderId="97" xfId="8" applyFont="1" applyFill="1" applyBorder="1" applyAlignment="1" applyProtection="1">
      <alignment horizontal="left" vertical="center" wrapText="1"/>
      <protection locked="0"/>
    </xf>
    <xf numFmtId="0" fontId="1" fillId="0" borderId="80" xfId="8" applyFont="1" applyFill="1" applyBorder="1" applyAlignment="1" applyProtection="1">
      <alignment horizontal="left" vertical="center" wrapText="1"/>
      <protection locked="0"/>
    </xf>
    <xf numFmtId="0" fontId="1" fillId="0" borderId="77" xfId="8" applyFont="1" applyFill="1" applyBorder="1" applyAlignment="1" applyProtection="1">
      <alignment horizontal="left" vertical="center" wrapText="1"/>
      <protection locked="0"/>
    </xf>
    <xf numFmtId="0" fontId="1" fillId="5" borderId="0" xfId="8" applyFont="1" applyFill="1" applyBorder="1" applyAlignment="1" applyProtection="1">
      <alignment horizontal="center" vertical="center"/>
    </xf>
    <xf numFmtId="0" fontId="1" fillId="5" borderId="8" xfId="8" applyFont="1" applyFill="1" applyBorder="1" applyAlignment="1" applyProtection="1">
      <alignment horizontal="center" vertical="center"/>
    </xf>
    <xf numFmtId="0" fontId="1" fillId="0" borderId="86" xfId="8" applyFont="1" applyFill="1" applyBorder="1" applyAlignment="1" applyProtection="1">
      <alignment horizontal="left" vertical="center" wrapText="1"/>
      <protection locked="0"/>
    </xf>
    <xf numFmtId="0" fontId="1" fillId="0" borderId="44" xfId="8" applyFont="1" applyFill="1" applyBorder="1" applyAlignment="1" applyProtection="1">
      <alignment horizontal="left" vertical="center" wrapText="1"/>
      <protection locked="0"/>
    </xf>
    <xf numFmtId="0" fontId="1" fillId="0" borderId="114" xfId="8" applyFont="1" applyFill="1" applyBorder="1" applyAlignment="1" applyProtection="1">
      <alignment horizontal="left" vertical="center" wrapText="1"/>
      <protection locked="0"/>
    </xf>
    <xf numFmtId="0" fontId="1" fillId="5" borderId="231" xfId="8" applyFont="1" applyFill="1" applyBorder="1" applyAlignment="1" applyProtection="1">
      <alignment horizontal="center" vertical="center"/>
    </xf>
    <xf numFmtId="0" fontId="1" fillId="5" borderId="176" xfId="8" applyFont="1" applyFill="1" applyBorder="1" applyAlignment="1" applyProtection="1">
      <alignment horizontal="center" vertical="center"/>
    </xf>
    <xf numFmtId="0" fontId="1" fillId="5" borderId="162" xfId="8" applyFont="1" applyFill="1" applyBorder="1" applyAlignment="1" applyProtection="1">
      <alignment horizontal="center" vertical="center"/>
    </xf>
    <xf numFmtId="0" fontId="1" fillId="5" borderId="194" xfId="8" applyFont="1" applyFill="1" applyBorder="1" applyAlignment="1" applyProtection="1">
      <alignment horizontal="left" vertical="center"/>
    </xf>
    <xf numFmtId="0" fontId="1" fillId="5" borderId="207" xfId="8" applyFont="1" applyFill="1" applyBorder="1" applyAlignment="1" applyProtection="1">
      <alignment horizontal="left" vertical="center"/>
    </xf>
    <xf numFmtId="0" fontId="4" fillId="0" borderId="55" xfId="8" applyFont="1" applyBorder="1" applyAlignment="1" applyProtection="1">
      <alignment horizontal="center"/>
    </xf>
    <xf numFmtId="0" fontId="4" fillId="0" borderId="54" xfId="8" applyFont="1" applyBorder="1" applyAlignment="1" applyProtection="1">
      <alignment horizontal="center"/>
    </xf>
    <xf numFmtId="0" fontId="4" fillId="0" borderId="71" xfId="8" applyFont="1" applyBorder="1" applyAlignment="1" applyProtection="1">
      <alignment horizontal="center"/>
    </xf>
    <xf numFmtId="0" fontId="5" fillId="3" borderId="3" xfId="8" applyFont="1" applyFill="1" applyBorder="1" applyAlignment="1" applyProtection="1">
      <alignment horizontal="center" vertical="center" wrapText="1"/>
      <protection locked="0"/>
    </xf>
    <xf numFmtId="0" fontId="5" fillId="3" borderId="0" xfId="8" applyFont="1" applyFill="1" applyBorder="1" applyAlignment="1" applyProtection="1">
      <alignment horizontal="center" vertical="center" wrapText="1"/>
      <protection locked="0"/>
    </xf>
    <xf numFmtId="0" fontId="5" fillId="3" borderId="8" xfId="8" applyFont="1" applyFill="1" applyBorder="1" applyAlignment="1" applyProtection="1">
      <alignment horizontal="center" vertical="center" wrapText="1"/>
      <protection locked="0"/>
    </xf>
    <xf numFmtId="0" fontId="1" fillId="5" borderId="251" xfId="8" applyFont="1" applyFill="1" applyBorder="1" applyAlignment="1" applyProtection="1">
      <alignment horizontal="center" vertical="center" wrapText="1"/>
    </xf>
    <xf numFmtId="0" fontId="1" fillId="5" borderId="182" xfId="8" applyFont="1" applyFill="1" applyBorder="1" applyAlignment="1" applyProtection="1">
      <alignment horizontal="center" vertical="center" wrapText="1"/>
    </xf>
    <xf numFmtId="0" fontId="1" fillId="0" borderId="125" xfId="8" applyFont="1" applyFill="1" applyBorder="1" applyAlignment="1" applyProtection="1">
      <alignment horizontal="center" vertical="center" wrapText="1"/>
      <protection locked="0"/>
    </xf>
    <xf numFmtId="0" fontId="1" fillId="0" borderId="56" xfId="8" applyFont="1" applyFill="1" applyBorder="1" applyAlignment="1" applyProtection="1">
      <alignment horizontal="center" vertical="center"/>
      <protection locked="0"/>
    </xf>
    <xf numFmtId="0" fontId="1" fillId="5" borderId="115" xfId="8" applyFont="1" applyFill="1" applyBorder="1" applyAlignment="1" applyProtection="1">
      <alignment horizontal="center" vertical="center" wrapText="1"/>
    </xf>
    <xf numFmtId="0" fontId="1" fillId="5" borderId="121" xfId="8" applyFont="1" applyFill="1" applyBorder="1" applyAlignment="1" applyProtection="1">
      <alignment horizontal="center" vertical="center" wrapText="1"/>
    </xf>
    <xf numFmtId="0" fontId="1" fillId="5" borderId="35" xfId="8" applyFont="1" applyFill="1" applyBorder="1" applyAlignment="1" applyProtection="1">
      <alignment horizontal="center" vertical="center" wrapText="1"/>
    </xf>
    <xf numFmtId="0" fontId="1" fillId="5" borderId="61" xfId="8" applyFont="1" applyFill="1" applyBorder="1" applyAlignment="1" applyProtection="1">
      <alignment horizontal="center" vertical="center" wrapText="1"/>
    </xf>
    <xf numFmtId="0" fontId="1" fillId="5" borderId="59" xfId="8" applyFont="1" applyFill="1" applyBorder="1" applyAlignment="1" applyProtection="1">
      <alignment horizontal="center" vertical="center" wrapText="1"/>
    </xf>
    <xf numFmtId="0" fontId="1" fillId="5" borderId="3" xfId="8" applyFont="1" applyFill="1" applyBorder="1" applyAlignment="1" applyProtection="1">
      <alignment horizontal="center" vertical="center" wrapText="1"/>
    </xf>
    <xf numFmtId="0" fontId="1" fillId="5" borderId="0" xfId="8" applyFont="1" applyFill="1" applyBorder="1" applyAlignment="1" applyProtection="1">
      <alignment horizontal="center" vertical="center" wrapText="1"/>
    </xf>
    <xf numFmtId="0" fontId="1" fillId="5" borderId="53" xfId="8" applyFont="1" applyFill="1" applyBorder="1" applyAlignment="1" applyProtection="1">
      <alignment horizontal="center" vertical="center" wrapText="1"/>
    </xf>
    <xf numFmtId="0" fontId="5" fillId="3" borderId="1" xfId="9" applyFont="1" applyFill="1" applyBorder="1" applyAlignment="1" applyProtection="1">
      <alignment horizontal="left" vertical="center"/>
    </xf>
    <xf numFmtId="0" fontId="5" fillId="3" borderId="2" xfId="9" applyFont="1" applyFill="1" applyBorder="1" applyAlignment="1" applyProtection="1">
      <alignment horizontal="left" vertical="center"/>
    </xf>
    <xf numFmtId="0" fontId="5" fillId="3" borderId="56" xfId="9" applyFont="1" applyFill="1" applyBorder="1" applyAlignment="1" applyProtection="1">
      <alignment horizontal="left" vertical="center"/>
    </xf>
    <xf numFmtId="0" fontId="8" fillId="0" borderId="66" xfId="9" applyFill="1" applyBorder="1" applyAlignment="1" applyProtection="1">
      <alignment horizontal="left" vertical="center" wrapText="1"/>
      <protection locked="0"/>
    </xf>
    <xf numFmtId="0" fontId="8" fillId="0" borderId="78" xfId="9" applyFill="1" applyBorder="1" applyAlignment="1" applyProtection="1">
      <alignment horizontal="left" vertical="center" wrapText="1"/>
      <protection locked="0"/>
    </xf>
    <xf numFmtId="0" fontId="1" fillId="5" borderId="111" xfId="9" applyFont="1" applyFill="1" applyBorder="1" applyAlignment="1" applyProtection="1">
      <alignment horizontal="center" vertical="center" wrapText="1"/>
    </xf>
    <xf numFmtId="0" fontId="8" fillId="5" borderId="27" xfId="9" applyFill="1" applyBorder="1" applyAlignment="1" applyProtection="1">
      <alignment horizontal="center" vertical="center" wrapText="1"/>
    </xf>
    <xf numFmtId="0" fontId="8" fillId="5" borderId="42" xfId="9" applyFill="1" applyBorder="1" applyAlignment="1" applyProtection="1">
      <alignment horizontal="center" vertical="center" wrapText="1"/>
    </xf>
    <xf numFmtId="0" fontId="9" fillId="0" borderId="3" xfId="5" applyBorder="1" applyAlignment="1" applyProtection="1">
      <alignment horizontal="left"/>
    </xf>
    <xf numFmtId="0" fontId="9" fillId="0" borderId="0" xfId="5" applyBorder="1" applyAlignment="1" applyProtection="1">
      <alignment horizontal="left"/>
    </xf>
    <xf numFmtId="0" fontId="4" fillId="0" borderId="55" xfId="9" applyFont="1" applyBorder="1" applyAlignment="1" applyProtection="1">
      <alignment horizontal="center"/>
    </xf>
    <xf numFmtId="0" fontId="4" fillId="0" borderId="54" xfId="9" applyFont="1" applyBorder="1" applyAlignment="1" applyProtection="1">
      <alignment horizontal="center"/>
    </xf>
    <xf numFmtId="0" fontId="4" fillId="0" borderId="71" xfId="9" applyFont="1" applyBorder="1" applyAlignment="1" applyProtection="1">
      <alignment horizontal="center"/>
    </xf>
    <xf numFmtId="0" fontId="1" fillId="5" borderId="185" xfId="9" applyFont="1" applyFill="1" applyBorder="1" applyAlignment="1" applyProtection="1">
      <alignment horizontal="center" vertical="center" wrapText="1"/>
    </xf>
    <xf numFmtId="0" fontId="1" fillId="5" borderId="192" xfId="9" applyFont="1" applyFill="1" applyBorder="1" applyAlignment="1" applyProtection="1">
      <alignment horizontal="center" vertical="center" wrapText="1"/>
    </xf>
    <xf numFmtId="0" fontId="1" fillId="5" borderId="255" xfId="9" applyFont="1" applyFill="1" applyBorder="1" applyAlignment="1" applyProtection="1">
      <alignment horizontal="center" vertical="center" wrapText="1"/>
    </xf>
    <xf numFmtId="0" fontId="8" fillId="0" borderId="80" xfId="9" applyFill="1" applyBorder="1" applyAlignment="1" applyProtection="1">
      <alignment horizontal="left" vertical="center" wrapText="1"/>
      <protection locked="0"/>
    </xf>
    <xf numFmtId="0" fontId="8" fillId="0" borderId="77" xfId="9" applyFill="1" applyBorder="1" applyAlignment="1" applyProtection="1">
      <alignment horizontal="left" vertical="center" wrapText="1"/>
      <protection locked="0"/>
    </xf>
    <xf numFmtId="0" fontId="1" fillId="5" borderId="208" xfId="9" applyFont="1" applyFill="1" applyBorder="1" applyAlignment="1" applyProtection="1">
      <alignment horizontal="left" vertical="center" wrapText="1"/>
    </xf>
    <xf numFmtId="0" fontId="1" fillId="5" borderId="148" xfId="9" applyFont="1" applyFill="1" applyBorder="1" applyAlignment="1" applyProtection="1">
      <alignment horizontal="left" vertical="center" wrapText="1"/>
    </xf>
    <xf numFmtId="0" fontId="1" fillId="5" borderId="15" xfId="9" applyFont="1" applyFill="1" applyBorder="1" applyAlignment="1" applyProtection="1">
      <alignment horizontal="left" vertical="center" wrapText="1"/>
    </xf>
    <xf numFmtId="0" fontId="1" fillId="5" borderId="0" xfId="9" applyFont="1" applyFill="1" applyBorder="1" applyAlignment="1" applyProtection="1">
      <alignment horizontal="left" vertical="center" wrapText="1"/>
    </xf>
    <xf numFmtId="0" fontId="1" fillId="5" borderId="168" xfId="9" applyFont="1" applyFill="1" applyBorder="1" applyAlignment="1" applyProtection="1">
      <alignment horizontal="left" vertical="center" wrapText="1"/>
    </xf>
    <xf numFmtId="0" fontId="1" fillId="5" borderId="192" xfId="9" applyFont="1" applyFill="1" applyBorder="1" applyAlignment="1" applyProtection="1">
      <alignment horizontal="left" vertical="center" wrapText="1"/>
    </xf>
    <xf numFmtId="0" fontId="1" fillId="0" borderId="66" xfId="9" applyFont="1" applyFill="1" applyBorder="1" applyAlignment="1" applyProtection="1">
      <alignment horizontal="center" vertical="center" wrapText="1"/>
      <protection locked="0"/>
    </xf>
    <xf numFmtId="0" fontId="1" fillId="0" borderId="66" xfId="9" applyFont="1" applyFill="1" applyBorder="1" applyAlignment="1" applyProtection="1">
      <alignment horizontal="left" vertical="center" wrapText="1"/>
      <protection locked="0"/>
    </xf>
    <xf numFmtId="0" fontId="1" fillId="0" borderId="78" xfId="9" applyFont="1" applyFill="1" applyBorder="1" applyAlignment="1" applyProtection="1">
      <alignment horizontal="left" vertical="center" wrapText="1"/>
      <protection locked="0"/>
    </xf>
    <xf numFmtId="0" fontId="1" fillId="5" borderId="31" xfId="9" applyFont="1" applyFill="1" applyBorder="1" applyAlignment="1" applyProtection="1">
      <alignment horizontal="left" vertical="center" wrapText="1"/>
    </xf>
    <xf numFmtId="0" fontId="1" fillId="5" borderId="2" xfId="9" applyFont="1" applyFill="1" applyBorder="1" applyAlignment="1" applyProtection="1">
      <alignment horizontal="left" vertical="center" wrapText="1"/>
    </xf>
    <xf numFmtId="0" fontId="1" fillId="5" borderId="56" xfId="9" applyFont="1" applyFill="1" applyBorder="1" applyAlignment="1" applyProtection="1">
      <alignment horizontal="left" vertical="center" wrapText="1"/>
    </xf>
    <xf numFmtId="0" fontId="36" fillId="18" borderId="208" xfId="9" applyFont="1" applyFill="1" applyBorder="1" applyAlignment="1" applyProtection="1">
      <alignment horizontal="center" vertical="center" wrapText="1"/>
    </xf>
    <xf numFmtId="0" fontId="36" fillId="18" borderId="148" xfId="9" applyFont="1" applyFill="1" applyBorder="1" applyAlignment="1" applyProtection="1">
      <alignment horizontal="center" vertical="center" wrapText="1"/>
    </xf>
    <xf numFmtId="0" fontId="36" fillId="18" borderId="190" xfId="9" applyFont="1" applyFill="1" applyBorder="1" applyAlignment="1" applyProtection="1">
      <alignment horizontal="center" vertical="center" wrapText="1"/>
    </xf>
    <xf numFmtId="0" fontId="1" fillId="5" borderId="0" xfId="9" applyFont="1" applyFill="1" applyBorder="1" applyAlignment="1" applyProtection="1">
      <alignment horizontal="center" vertical="center" wrapText="1"/>
    </xf>
    <xf numFmtId="0" fontId="1" fillId="5" borderId="8" xfId="9" applyFont="1" applyFill="1" applyBorder="1" applyAlignment="1" applyProtection="1">
      <alignment horizontal="center" vertical="center" wrapText="1"/>
    </xf>
    <xf numFmtId="0" fontId="1" fillId="5" borderId="186" xfId="9" applyFont="1" applyFill="1" applyBorder="1" applyAlignment="1" applyProtection="1">
      <alignment horizontal="left" vertical="center" wrapText="1"/>
    </xf>
    <xf numFmtId="0" fontId="1" fillId="5" borderId="150" xfId="9" applyFont="1" applyFill="1" applyBorder="1" applyAlignment="1" applyProtection="1">
      <alignment horizontal="left" vertical="center" wrapText="1"/>
    </xf>
    <xf numFmtId="0" fontId="1" fillId="5" borderId="178" xfId="9" applyFont="1" applyFill="1" applyBorder="1" applyAlignment="1" applyProtection="1">
      <alignment horizontal="center" vertical="center" wrapText="1"/>
    </xf>
    <xf numFmtId="0" fontId="36" fillId="18" borderId="220" xfId="9" applyFont="1" applyFill="1" applyBorder="1" applyAlignment="1" applyProtection="1">
      <alignment horizontal="center" vertical="center" wrapText="1"/>
    </xf>
    <xf numFmtId="0" fontId="36" fillId="18" borderId="250" xfId="9" applyFont="1" applyFill="1" applyBorder="1" applyAlignment="1" applyProtection="1">
      <alignment horizontal="center" vertical="center" wrapText="1"/>
    </xf>
    <xf numFmtId="0" fontId="1" fillId="0" borderId="80" xfId="9" applyFont="1" applyFill="1" applyBorder="1" applyAlignment="1" applyProtection="1">
      <alignment horizontal="center" vertical="center" wrapText="1"/>
      <protection locked="0"/>
    </xf>
    <xf numFmtId="0" fontId="1" fillId="0" borderId="80" xfId="9" applyFont="1" applyFill="1" applyBorder="1" applyAlignment="1" applyProtection="1">
      <alignment horizontal="left" vertical="center" wrapText="1"/>
      <protection locked="0"/>
    </xf>
    <xf numFmtId="0" fontId="1" fillId="0" borderId="77" xfId="9" applyFont="1" applyFill="1" applyBorder="1" applyAlignment="1" applyProtection="1">
      <alignment horizontal="left" vertical="center" wrapText="1"/>
      <protection locked="0"/>
    </xf>
    <xf numFmtId="0" fontId="8" fillId="5" borderId="2" xfId="9" applyFill="1" applyBorder="1" applyAlignment="1" applyProtection="1">
      <alignment horizontal="left" vertical="center" wrapText="1"/>
    </xf>
    <xf numFmtId="0" fontId="8" fillId="5" borderId="56" xfId="9" applyFill="1" applyBorder="1" applyAlignment="1" applyProtection="1">
      <alignment horizontal="left" vertical="center" wrapText="1"/>
    </xf>
    <xf numFmtId="0" fontId="8" fillId="5" borderId="120" xfId="9" applyFill="1" applyBorder="1" applyAlignment="1" applyProtection="1">
      <alignment horizontal="center" vertical="center" wrapText="1"/>
    </xf>
    <xf numFmtId="0" fontId="8" fillId="5" borderId="117" xfId="9" applyFill="1" applyBorder="1" applyAlignment="1" applyProtection="1">
      <alignment horizontal="center" vertical="center" wrapText="1"/>
    </xf>
    <xf numFmtId="0" fontId="8" fillId="5" borderId="69" xfId="9" applyFill="1" applyBorder="1" applyAlignment="1" applyProtection="1">
      <alignment horizontal="center" vertical="center" wrapText="1"/>
    </xf>
    <xf numFmtId="0" fontId="8" fillId="4" borderId="117" xfId="9" applyFill="1" applyBorder="1" applyAlignment="1" applyProtection="1">
      <alignment horizontal="center" vertical="center" wrapText="1"/>
      <protection locked="0"/>
    </xf>
    <xf numFmtId="0" fontId="8" fillId="4" borderId="118" xfId="9" applyFill="1" applyBorder="1" applyAlignment="1" applyProtection="1">
      <alignment horizontal="center" vertical="center" wrapText="1"/>
      <protection locked="0"/>
    </xf>
    <xf numFmtId="0" fontId="1" fillId="5" borderId="208" xfId="9" applyFont="1" applyFill="1" applyBorder="1" applyAlignment="1" applyProtection="1">
      <alignment horizontal="center" vertical="center" wrapText="1"/>
    </xf>
    <xf numFmtId="0" fontId="1" fillId="5" borderId="148" xfId="9" applyFont="1" applyFill="1" applyBorder="1" applyAlignment="1" applyProtection="1">
      <alignment horizontal="center" vertical="center" wrapText="1"/>
    </xf>
    <xf numFmtId="0" fontId="1" fillId="5" borderId="243" xfId="9" applyFont="1" applyFill="1" applyBorder="1" applyAlignment="1" applyProtection="1">
      <alignment horizontal="center" vertical="center" wrapText="1"/>
    </xf>
    <xf numFmtId="0" fontId="1" fillId="0" borderId="125" xfId="6" applyFont="1" applyFill="1" applyBorder="1" applyAlignment="1" applyProtection="1">
      <alignment horizontal="center" vertical="center" wrapText="1"/>
      <protection locked="0"/>
    </xf>
    <xf numFmtId="0" fontId="1" fillId="0" borderId="2" xfId="6" applyFont="1" applyFill="1" applyBorder="1" applyAlignment="1" applyProtection="1">
      <alignment horizontal="center" vertical="center" wrapText="1"/>
      <protection locked="0"/>
    </xf>
    <xf numFmtId="0" fontId="1" fillId="0" borderId="56" xfId="6" applyFont="1" applyFill="1" applyBorder="1" applyAlignment="1" applyProtection="1">
      <alignment horizontal="center" vertical="center" wrapText="1"/>
      <protection locked="0"/>
    </xf>
    <xf numFmtId="0" fontId="1" fillId="5" borderId="147" xfId="3" applyFont="1" applyFill="1" applyBorder="1" applyAlignment="1" applyProtection="1">
      <alignment horizontal="center" vertical="center" wrapText="1"/>
    </xf>
    <xf numFmtId="0" fontId="1" fillId="5" borderId="148" xfId="3" applyFont="1" applyFill="1" applyBorder="1" applyAlignment="1" applyProtection="1">
      <alignment horizontal="center" vertical="center" wrapText="1"/>
    </xf>
    <xf numFmtId="0" fontId="1" fillId="5" borderId="190" xfId="3" applyFont="1" applyFill="1" applyBorder="1" applyAlignment="1" applyProtection="1">
      <alignment horizontal="center" vertical="center" wrapText="1"/>
    </xf>
    <xf numFmtId="0" fontId="4" fillId="5" borderId="3" xfId="3" applyFont="1" applyFill="1" applyBorder="1" applyAlignment="1" applyProtection="1">
      <alignment horizontal="center" vertical="center" wrapText="1"/>
    </xf>
    <xf numFmtId="0" fontId="4" fillId="5" borderId="0" xfId="3" applyFont="1" applyFill="1" applyBorder="1" applyAlignment="1" applyProtection="1">
      <alignment horizontal="center" vertical="center" wrapText="1"/>
    </xf>
    <xf numFmtId="0" fontId="4" fillId="5" borderId="8" xfId="3" applyFont="1" applyFill="1" applyBorder="1" applyAlignment="1" applyProtection="1">
      <alignment horizontal="center" vertical="center" wrapText="1"/>
    </xf>
    <xf numFmtId="0" fontId="4" fillId="5" borderId="13" xfId="3" applyFont="1" applyFill="1" applyBorder="1" applyAlignment="1" applyProtection="1">
      <alignment horizontal="center" vertical="center" wrapText="1"/>
    </xf>
    <xf numFmtId="0" fontId="4" fillId="5" borderId="7" xfId="3" applyFont="1" applyFill="1" applyBorder="1" applyAlignment="1" applyProtection="1">
      <alignment horizontal="center" vertical="center" wrapText="1"/>
    </xf>
    <xf numFmtId="0" fontId="4" fillId="5" borderId="14" xfId="3" applyFont="1" applyFill="1" applyBorder="1" applyAlignment="1" applyProtection="1">
      <alignment horizontal="center" vertical="center" wrapText="1"/>
    </xf>
    <xf numFmtId="0" fontId="1" fillId="5" borderId="1" xfId="6" applyFont="1" applyFill="1" applyBorder="1" applyAlignment="1" applyProtection="1">
      <alignment horizontal="center" vertical="center"/>
    </xf>
    <xf numFmtId="0" fontId="1" fillId="5" borderId="3" xfId="6" applyFont="1" applyFill="1" applyBorder="1" applyAlignment="1" applyProtection="1">
      <alignment horizontal="center" vertical="center"/>
    </xf>
    <xf numFmtId="0" fontId="1" fillId="5" borderId="55" xfId="6" applyFont="1" applyFill="1" applyBorder="1" applyAlignment="1" applyProtection="1">
      <alignment horizontal="center" vertical="center"/>
    </xf>
    <xf numFmtId="0" fontId="1" fillId="0" borderId="63" xfId="6" applyFont="1" applyFill="1" applyBorder="1" applyAlignment="1" applyProtection="1">
      <alignment horizontal="center" vertical="center" wrapText="1"/>
      <protection locked="0"/>
    </xf>
    <xf numFmtId="0" fontId="1" fillId="0" borderId="82" xfId="6" applyFont="1" applyFill="1" applyBorder="1" applyAlignment="1" applyProtection="1">
      <alignment horizontal="center" vertical="center" wrapText="1"/>
      <protection locked="0"/>
    </xf>
    <xf numFmtId="0" fontId="1" fillId="0" borderId="86" xfId="6" applyFont="1" applyFill="1" applyBorder="1" applyAlignment="1" applyProtection="1">
      <alignment horizontal="center" vertical="center" wrapText="1"/>
      <protection locked="0"/>
    </xf>
    <xf numFmtId="0" fontId="1" fillId="0" borderId="83" xfId="6" applyFont="1" applyFill="1" applyBorder="1" applyAlignment="1" applyProtection="1">
      <alignment horizontal="center" vertical="center" wrapText="1"/>
      <protection locked="0"/>
    </xf>
    <xf numFmtId="0" fontId="1" fillId="0" borderId="97" xfId="6" applyFont="1" applyFill="1" applyBorder="1" applyAlignment="1" applyProtection="1">
      <alignment horizontal="center" vertical="center" wrapText="1"/>
      <protection locked="0"/>
    </xf>
    <xf numFmtId="0" fontId="1" fillId="5" borderId="203" xfId="6" applyFont="1" applyFill="1" applyBorder="1" applyAlignment="1" applyProtection="1">
      <alignment horizontal="left" vertical="center" wrapText="1"/>
    </xf>
    <xf numFmtId="0" fontId="1" fillId="5" borderId="2" xfId="6" applyFont="1" applyFill="1" applyBorder="1" applyAlignment="1" applyProtection="1">
      <alignment horizontal="left" vertical="center" wrapText="1"/>
    </xf>
    <xf numFmtId="0" fontId="1" fillId="5" borderId="56" xfId="6" applyFont="1" applyFill="1" applyBorder="1" applyAlignment="1" applyProtection="1">
      <alignment horizontal="left" vertical="center" wrapText="1"/>
    </xf>
    <xf numFmtId="0" fontId="5" fillId="3" borderId="1" xfId="6" applyFont="1" applyFill="1" applyBorder="1" applyAlignment="1" applyProtection="1">
      <alignment horizontal="left" vertical="center"/>
    </xf>
    <xf numFmtId="0" fontId="5" fillId="3" borderId="2" xfId="6" applyFont="1" applyFill="1" applyBorder="1" applyAlignment="1" applyProtection="1">
      <alignment horizontal="left" vertical="center"/>
    </xf>
    <xf numFmtId="0" fontId="5" fillId="3" borderId="56" xfId="6" applyFont="1" applyFill="1" applyBorder="1" applyAlignment="1" applyProtection="1">
      <alignment horizontal="left" vertical="center"/>
    </xf>
    <xf numFmtId="0" fontId="4" fillId="0" borderId="55" xfId="6" applyFont="1" applyBorder="1" applyAlignment="1" applyProtection="1">
      <alignment horizontal="center" vertical="center"/>
    </xf>
    <xf numFmtId="0" fontId="4" fillId="0" borderId="54" xfId="6" applyFont="1" applyBorder="1" applyAlignment="1" applyProtection="1">
      <alignment horizontal="center" vertical="center"/>
    </xf>
    <xf numFmtId="0" fontId="4" fillId="0" borderId="71" xfId="6" applyFont="1" applyBorder="1" applyAlignment="1" applyProtection="1">
      <alignment horizontal="center" vertical="center"/>
    </xf>
    <xf numFmtId="0" fontId="1" fillId="5" borderId="238" xfId="3" applyFont="1" applyFill="1" applyBorder="1" applyAlignment="1" applyProtection="1">
      <alignment horizontal="center" vertical="center" wrapText="1"/>
    </xf>
    <xf numFmtId="0" fontId="1" fillId="5" borderId="241" xfId="3" applyFont="1" applyFill="1" applyBorder="1" applyAlignment="1" applyProtection="1">
      <alignment horizontal="center" vertical="center" wrapText="1"/>
    </xf>
    <xf numFmtId="0" fontId="1" fillId="0" borderId="116" xfId="6" applyFont="1" applyFill="1" applyBorder="1" applyAlignment="1" applyProtection="1">
      <alignment horizontal="center" vertical="center" wrapText="1"/>
      <protection locked="0"/>
    </xf>
    <xf numFmtId="0" fontId="1" fillId="0" borderId="69" xfId="6" applyFont="1" applyFill="1" applyBorder="1" applyAlignment="1" applyProtection="1">
      <alignment horizontal="center" vertical="center" wrapText="1"/>
      <protection locked="0"/>
    </xf>
    <xf numFmtId="0" fontId="1" fillId="5" borderId="1" xfId="3" applyFont="1" applyFill="1" applyBorder="1" applyAlignment="1" applyProtection="1">
      <alignment horizontal="center" vertical="center" wrapText="1"/>
    </xf>
    <xf numFmtId="0" fontId="1" fillId="5" borderId="3" xfId="3" applyFont="1" applyFill="1" applyBorder="1" applyAlignment="1" applyProtection="1">
      <alignment horizontal="center" vertical="center" wrapText="1"/>
    </xf>
    <xf numFmtId="0" fontId="1" fillId="5" borderId="55" xfId="3" applyFont="1" applyFill="1" applyBorder="1" applyAlignment="1" applyProtection="1">
      <alignment horizontal="center" vertical="center" wrapText="1"/>
    </xf>
    <xf numFmtId="0" fontId="1" fillId="5" borderId="209" xfId="3" applyFont="1" applyFill="1" applyBorder="1" applyAlignment="1" applyProtection="1">
      <alignment horizontal="left" vertical="center" wrapText="1"/>
    </xf>
    <xf numFmtId="0" fontId="1" fillId="5" borderId="220" xfId="3" applyFont="1" applyFill="1" applyBorder="1" applyAlignment="1" applyProtection="1">
      <alignment horizontal="left" vertical="center" wrapText="1"/>
    </xf>
    <xf numFmtId="0" fontId="1" fillId="5" borderId="250" xfId="3" applyFont="1" applyFill="1" applyBorder="1" applyAlignment="1" applyProtection="1">
      <alignment horizontal="left" vertical="center" wrapText="1"/>
    </xf>
    <xf numFmtId="0" fontId="1" fillId="5" borderId="185" xfId="6" applyFont="1" applyFill="1" applyBorder="1" applyAlignment="1" applyProtection="1">
      <alignment horizontal="center" vertical="center"/>
    </xf>
    <xf numFmtId="0" fontId="1" fillId="5" borderId="255" xfId="6" applyFont="1" applyFill="1" applyBorder="1" applyAlignment="1" applyProtection="1">
      <alignment horizontal="center" vertical="center"/>
    </xf>
    <xf numFmtId="0" fontId="1" fillId="5" borderId="198" xfId="6" applyFont="1" applyFill="1" applyBorder="1" applyAlignment="1" applyProtection="1">
      <alignment horizontal="center" vertical="center"/>
    </xf>
    <xf numFmtId="0" fontId="1" fillId="5" borderId="71" xfId="6" applyFont="1" applyFill="1" applyBorder="1" applyAlignment="1" applyProtection="1">
      <alignment horizontal="center" vertical="center"/>
    </xf>
    <xf numFmtId="0" fontId="1" fillId="5" borderId="178" xfId="6" applyFont="1" applyFill="1" applyBorder="1" applyAlignment="1" applyProtection="1">
      <alignment horizontal="center" vertical="center"/>
    </xf>
    <xf numFmtId="0" fontId="1" fillId="5" borderId="256" xfId="6" applyFont="1" applyFill="1" applyBorder="1" applyAlignment="1" applyProtection="1">
      <alignment horizontal="center" vertical="center"/>
    </xf>
    <xf numFmtId="0" fontId="1" fillId="0" borderId="118" xfId="6" applyFont="1" applyFill="1" applyBorder="1" applyAlignment="1" applyProtection="1">
      <alignment horizontal="center" vertical="center" wrapText="1"/>
      <protection locked="0"/>
    </xf>
    <xf numFmtId="0" fontId="10" fillId="4" borderId="67" xfId="6" applyFont="1" applyFill="1" applyBorder="1" applyAlignment="1" applyProtection="1">
      <alignment horizontal="center" vertical="center" wrapText="1"/>
      <protection locked="0"/>
    </xf>
    <xf numFmtId="0" fontId="10" fillId="4" borderId="82" xfId="6" applyFont="1" applyFill="1" applyBorder="1" applyAlignment="1" applyProtection="1">
      <alignment horizontal="center" vertical="center" wrapText="1"/>
      <protection locked="0"/>
    </xf>
    <xf numFmtId="0" fontId="1" fillId="5" borderId="149" xfId="6" applyFont="1" applyFill="1" applyBorder="1" applyAlignment="1" applyProtection="1">
      <alignment horizontal="center" vertical="center"/>
    </xf>
    <xf numFmtId="0" fontId="1" fillId="5" borderId="212" xfId="6" applyFont="1" applyFill="1" applyBorder="1" applyAlignment="1" applyProtection="1">
      <alignment horizontal="center" vertical="center"/>
    </xf>
    <xf numFmtId="0" fontId="20" fillId="4" borderId="66" xfId="0" applyFont="1" applyFill="1" applyBorder="1" applyAlignment="1" applyProtection="1">
      <alignment horizontal="center" vertical="center" wrapText="1"/>
      <protection locked="0"/>
    </xf>
    <xf numFmtId="0" fontId="20" fillId="4" borderId="80" xfId="0" applyFont="1" applyFill="1" applyBorder="1" applyAlignment="1" applyProtection="1">
      <alignment horizontal="center" vertical="center" wrapText="1"/>
      <protection locked="0"/>
    </xf>
    <xf numFmtId="0" fontId="10" fillId="4" borderId="120" xfId="6" applyFont="1" applyFill="1" applyBorder="1" applyAlignment="1" applyProtection="1">
      <alignment horizontal="center" vertical="center" wrapText="1"/>
      <protection locked="0"/>
    </xf>
    <xf numFmtId="0" fontId="10" fillId="4" borderId="69" xfId="6" applyFont="1" applyFill="1" applyBorder="1" applyAlignment="1" applyProtection="1">
      <alignment horizontal="center" vertical="center" wrapText="1"/>
      <protection locked="0"/>
    </xf>
    <xf numFmtId="0" fontId="10" fillId="4" borderId="99" xfId="6" applyFont="1" applyFill="1" applyBorder="1" applyAlignment="1" applyProtection="1">
      <alignment horizontal="center" vertical="center" wrapText="1"/>
      <protection locked="0"/>
    </xf>
    <xf numFmtId="0" fontId="10" fillId="4" borderId="83" xfId="6" applyFont="1" applyFill="1" applyBorder="1" applyAlignment="1" applyProtection="1">
      <alignment horizontal="center" vertical="center" wrapText="1"/>
      <protection locked="0"/>
    </xf>
    <xf numFmtId="0" fontId="1" fillId="5" borderId="194" xfId="3" applyFont="1" applyFill="1" applyBorder="1" applyAlignment="1" applyProtection="1">
      <alignment horizontal="left" vertical="center" wrapText="1"/>
    </xf>
    <xf numFmtId="0" fontId="1" fillId="5" borderId="207" xfId="3" applyFont="1" applyFill="1" applyBorder="1" applyAlignment="1" applyProtection="1">
      <alignment horizontal="left" vertical="center" wrapText="1"/>
    </xf>
    <xf numFmtId="0" fontId="1" fillId="5" borderId="241" xfId="3" applyFont="1" applyFill="1" applyBorder="1" applyAlignment="1" applyProtection="1">
      <alignment horizontal="left" vertical="center" wrapText="1"/>
    </xf>
    <xf numFmtId="0" fontId="20" fillId="5" borderId="175" xfId="0" applyFont="1" applyFill="1" applyBorder="1" applyAlignment="1" applyProtection="1">
      <alignment horizontal="center" vertical="center" wrapText="1"/>
    </xf>
    <xf numFmtId="0" fontId="20" fillId="5" borderId="148" xfId="0" applyFont="1" applyFill="1" applyBorder="1" applyAlignment="1" applyProtection="1">
      <alignment horizontal="center" vertical="center" wrapText="1"/>
    </xf>
    <xf numFmtId="0" fontId="20" fillId="5" borderId="243" xfId="0" applyFont="1" applyFill="1" applyBorder="1" applyAlignment="1" applyProtection="1">
      <alignment horizontal="center" vertical="center" wrapText="1"/>
    </xf>
    <xf numFmtId="0" fontId="1" fillId="5" borderId="203" xfId="8" applyFont="1" applyFill="1" applyBorder="1" applyAlignment="1" applyProtection="1">
      <alignment horizontal="left" vertical="center" wrapText="1"/>
    </xf>
    <xf numFmtId="0" fontId="1" fillId="5" borderId="2" xfId="8" applyFont="1" applyFill="1" applyBorder="1" applyAlignment="1" applyProtection="1">
      <alignment horizontal="left" vertical="center" wrapText="1"/>
    </xf>
    <xf numFmtId="0" fontId="1" fillId="5" borderId="127" xfId="8" applyFont="1" applyFill="1" applyBorder="1" applyAlignment="1" applyProtection="1">
      <alignment horizontal="left" vertical="center" wrapText="1"/>
    </xf>
    <xf numFmtId="0" fontId="34" fillId="4" borderId="66" xfId="0" applyFont="1" applyFill="1" applyBorder="1" applyAlignment="1" applyProtection="1">
      <alignment horizontal="left" vertical="center" wrapText="1"/>
      <protection locked="0"/>
    </xf>
    <xf numFmtId="0" fontId="34" fillId="4" borderId="78" xfId="0" applyFont="1" applyFill="1" applyBorder="1" applyAlignment="1" applyProtection="1">
      <alignment horizontal="left" vertical="center" wrapText="1"/>
      <protection locked="0"/>
    </xf>
    <xf numFmtId="0" fontId="1" fillId="0" borderId="63" xfId="8" applyFont="1" applyFill="1" applyBorder="1" applyAlignment="1" applyProtection="1">
      <alignment horizontal="center" vertical="center"/>
      <protection locked="0"/>
    </xf>
    <xf numFmtId="0" fontId="1" fillId="0" borderId="97" xfId="8" applyFont="1" applyFill="1" applyBorder="1" applyAlignment="1" applyProtection="1">
      <alignment horizontal="center" vertical="center"/>
      <protection locked="0"/>
    </xf>
    <xf numFmtId="0" fontId="20" fillId="5" borderId="141" xfId="0" applyFont="1" applyFill="1" applyBorder="1" applyAlignment="1" applyProtection="1">
      <alignment horizontal="left" vertical="center" wrapText="1"/>
    </xf>
    <xf numFmtId="0" fontId="20" fillId="5" borderId="175" xfId="0" applyFont="1" applyFill="1" applyBorder="1" applyAlignment="1" applyProtection="1">
      <alignment horizontal="left" vertical="center" wrapText="1"/>
    </xf>
    <xf numFmtId="0" fontId="34" fillId="4" borderId="80" xfId="0" applyFont="1" applyFill="1" applyBorder="1" applyAlignment="1" applyProtection="1">
      <alignment horizontal="left" vertical="center" wrapText="1"/>
      <protection locked="0"/>
    </xf>
    <xf numFmtId="0" fontId="34" fillId="4" borderId="77" xfId="0" applyFont="1" applyFill="1" applyBorder="1" applyAlignment="1" applyProtection="1">
      <alignment horizontal="left" vertical="center" wrapText="1"/>
      <protection locked="0"/>
    </xf>
    <xf numFmtId="0" fontId="1" fillId="0" borderId="126" xfId="8" applyFont="1" applyFill="1" applyBorder="1" applyAlignment="1" applyProtection="1">
      <alignment horizontal="center" vertical="center" wrapText="1"/>
      <protection locked="0"/>
    </xf>
    <xf numFmtId="0" fontId="4" fillId="0" borderId="101" xfId="8" applyFont="1" applyFill="1" applyBorder="1" applyAlignment="1" applyProtection="1">
      <alignment horizontal="center" vertical="center" wrapText="1"/>
      <protection locked="0"/>
    </xf>
    <xf numFmtId="0" fontId="1" fillId="5" borderId="140" xfId="8" applyFont="1" applyFill="1" applyBorder="1" applyAlignment="1" applyProtection="1">
      <alignment horizontal="left" vertical="center" wrapText="1"/>
    </xf>
    <xf numFmtId="0" fontId="1" fillId="5" borderId="0" xfId="8" applyFont="1" applyFill="1" applyBorder="1" applyAlignment="1" applyProtection="1">
      <alignment horizontal="left" vertical="center" wrapText="1"/>
    </xf>
    <xf numFmtId="0" fontId="1" fillId="5" borderId="70" xfId="8" applyFont="1" applyFill="1" applyBorder="1" applyAlignment="1" applyProtection="1">
      <alignment horizontal="left" vertical="center" wrapText="1"/>
    </xf>
    <xf numFmtId="0" fontId="20" fillId="5" borderId="167" xfId="0" applyFont="1" applyFill="1" applyBorder="1" applyAlignment="1" applyProtection="1">
      <alignment horizontal="left" vertical="center" wrapText="1"/>
    </xf>
    <xf numFmtId="0" fontId="20" fillId="5" borderId="185" xfId="0" applyFont="1" applyFill="1" applyBorder="1" applyAlignment="1" applyProtection="1">
      <alignment horizontal="left" vertical="center" wrapText="1"/>
    </xf>
    <xf numFmtId="0" fontId="20" fillId="4" borderId="91" xfId="0" applyFont="1" applyFill="1" applyBorder="1" applyAlignment="1" applyProtection="1">
      <alignment horizontal="center" vertical="center" wrapText="1"/>
      <protection locked="0"/>
    </xf>
    <xf numFmtId="0" fontId="20" fillId="4" borderId="92" xfId="0" applyFont="1" applyFill="1" applyBorder="1" applyAlignment="1" applyProtection="1">
      <alignment horizontal="center" vertical="center" wrapText="1"/>
      <protection locked="0"/>
    </xf>
    <xf numFmtId="0" fontId="20" fillId="4" borderId="86" xfId="0" applyFont="1" applyFill="1" applyBorder="1" applyAlignment="1" applyProtection="1">
      <alignment horizontal="center" vertical="center" wrapText="1"/>
      <protection locked="0"/>
    </xf>
    <xf numFmtId="0" fontId="20" fillId="4" borderId="83"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xf>
    <xf numFmtId="0" fontId="20" fillId="5" borderId="257" xfId="0" applyFont="1" applyFill="1" applyBorder="1" applyAlignment="1" applyProtection="1">
      <alignment horizontal="center" vertical="center" wrapText="1"/>
    </xf>
    <xf numFmtId="0" fontId="20" fillId="5" borderId="157" xfId="0" applyFont="1" applyFill="1" applyBorder="1" applyAlignment="1" applyProtection="1">
      <alignment horizontal="center" vertical="center" wrapText="1"/>
    </xf>
    <xf numFmtId="0" fontId="20" fillId="5" borderId="258" xfId="0" applyFont="1" applyFill="1" applyBorder="1" applyAlignment="1" applyProtection="1">
      <alignment horizontal="center" vertical="center" wrapText="1"/>
    </xf>
    <xf numFmtId="0" fontId="20" fillId="5" borderId="158" xfId="0" applyFont="1" applyFill="1" applyBorder="1" applyAlignment="1" applyProtection="1">
      <alignment horizontal="center" vertical="center" wrapText="1"/>
    </xf>
    <xf numFmtId="0" fontId="20" fillId="5" borderId="225" xfId="0" applyFont="1" applyFill="1" applyBorder="1" applyAlignment="1" applyProtection="1">
      <alignment horizontal="left" vertical="center" wrapText="1"/>
    </xf>
    <xf numFmtId="0" fontId="20" fillId="5" borderId="226" xfId="0" applyFont="1" applyFill="1" applyBorder="1" applyAlignment="1" applyProtection="1">
      <alignment horizontal="left" vertical="center" wrapText="1"/>
    </xf>
    <xf numFmtId="0" fontId="20" fillId="5" borderId="163" xfId="0" applyFont="1" applyFill="1" applyBorder="1" applyAlignment="1" applyProtection="1">
      <alignment horizontal="center" vertical="center" wrapText="1"/>
    </xf>
    <xf numFmtId="0" fontId="20" fillId="5" borderId="206" xfId="0" applyFont="1" applyFill="1" applyBorder="1" applyAlignment="1" applyProtection="1">
      <alignment horizontal="center" vertical="center" wrapText="1"/>
    </xf>
    <xf numFmtId="0" fontId="20" fillId="5" borderId="223" xfId="0" applyFont="1" applyFill="1" applyBorder="1" applyAlignment="1" applyProtection="1">
      <alignment horizontal="center" vertical="center" wrapText="1"/>
    </xf>
    <xf numFmtId="0" fontId="1" fillId="5" borderId="120" xfId="8" applyFont="1" applyFill="1" applyBorder="1" applyAlignment="1" applyProtection="1">
      <alignment horizontal="center" vertical="center" wrapText="1"/>
    </xf>
    <xf numFmtId="0" fontId="1" fillId="5" borderId="69" xfId="8" applyFont="1" applyFill="1" applyBorder="1" applyAlignment="1" applyProtection="1">
      <alignment horizontal="center" vertical="center" wrapText="1"/>
    </xf>
    <xf numFmtId="0" fontId="1" fillId="0" borderId="116" xfId="8" applyFont="1" applyFill="1" applyBorder="1" applyAlignment="1" applyProtection="1">
      <alignment horizontal="left" vertical="center" wrapText="1"/>
      <protection locked="0"/>
    </xf>
    <xf numFmtId="0" fontId="1" fillId="0" borderId="117" xfId="8" applyFont="1" applyFill="1" applyBorder="1" applyAlignment="1" applyProtection="1">
      <alignment horizontal="left" vertical="center" wrapText="1"/>
      <protection locked="0"/>
    </xf>
    <xf numFmtId="0" fontId="1" fillId="0" borderId="118" xfId="8" applyFont="1" applyFill="1" applyBorder="1" applyAlignment="1" applyProtection="1">
      <alignment horizontal="left" vertical="center" wrapText="1"/>
      <protection locked="0"/>
    </xf>
    <xf numFmtId="0" fontId="20" fillId="7" borderId="231" xfId="7" applyFont="1" applyFill="1" applyBorder="1" applyAlignment="1" applyProtection="1">
      <alignment horizontal="center" vertical="center"/>
    </xf>
    <xf numFmtId="0" fontId="20" fillId="7" borderId="176" xfId="7" applyFont="1" applyFill="1" applyBorder="1" applyAlignment="1" applyProtection="1">
      <alignment horizontal="center" vertical="center"/>
    </xf>
    <xf numFmtId="0" fontId="20" fillId="7" borderId="162" xfId="7" applyFont="1" applyFill="1" applyBorder="1" applyAlignment="1" applyProtection="1">
      <alignment horizontal="center" vertical="center"/>
    </xf>
    <xf numFmtId="0" fontId="20" fillId="5" borderId="175" xfId="7" applyFont="1" applyFill="1" applyBorder="1" applyAlignment="1" applyProtection="1">
      <alignment horizontal="center" vertical="center"/>
    </xf>
    <xf numFmtId="0" fontId="20" fillId="5" borderId="148" xfId="7" applyFont="1" applyFill="1" applyBorder="1" applyAlignment="1" applyProtection="1">
      <alignment horizontal="center" vertical="center"/>
    </xf>
    <xf numFmtId="0" fontId="20" fillId="5" borderId="140" xfId="7" applyFont="1" applyFill="1" applyBorder="1" applyAlignment="1" applyProtection="1">
      <alignment horizontal="center" vertical="center" wrapText="1"/>
    </xf>
    <xf numFmtId="0" fontId="20" fillId="5" borderId="0" xfId="7" applyFont="1" applyFill="1" applyBorder="1" applyAlignment="1" applyProtection="1">
      <alignment horizontal="center" vertical="center" wrapText="1"/>
    </xf>
    <xf numFmtId="0" fontId="20" fillId="5" borderId="209" xfId="7" applyFont="1" applyFill="1" applyBorder="1" applyAlignment="1" applyProtection="1">
      <alignment horizontal="center" vertical="center" wrapText="1"/>
    </xf>
    <xf numFmtId="0" fontId="20" fillId="5" borderId="220" xfId="7" applyFont="1" applyFill="1" applyBorder="1" applyAlignment="1" applyProtection="1">
      <alignment horizontal="center" vertical="center" wrapText="1"/>
    </xf>
    <xf numFmtId="0" fontId="20" fillId="5" borderId="232" xfId="7" applyFont="1" applyFill="1" applyBorder="1" applyAlignment="1" applyProtection="1">
      <alignment horizontal="left" vertical="center" wrapText="1"/>
    </xf>
    <xf numFmtId="0" fontId="20" fillId="5" borderId="7" xfId="7" applyFont="1" applyFill="1" applyBorder="1" applyAlignment="1" applyProtection="1">
      <alignment horizontal="left" vertical="center" wrapText="1"/>
    </xf>
    <xf numFmtId="0" fontId="20" fillId="5" borderId="241" xfId="7" applyFont="1" applyFill="1" applyBorder="1" applyAlignment="1" applyProtection="1">
      <alignment horizontal="left" vertical="center" wrapText="1"/>
    </xf>
    <xf numFmtId="0" fontId="20" fillId="0" borderId="66" xfId="7" applyFont="1" applyBorder="1" applyAlignment="1" applyProtection="1">
      <alignment horizontal="center" vertical="center"/>
      <protection locked="0"/>
    </xf>
    <xf numFmtId="0" fontId="20" fillId="0" borderId="78" xfId="7" applyFont="1" applyBorder="1" applyAlignment="1" applyProtection="1">
      <alignment horizontal="center" vertical="center"/>
      <protection locked="0"/>
    </xf>
    <xf numFmtId="0" fontId="20" fillId="5" borderId="185" xfId="7" applyFont="1" applyFill="1" applyBorder="1" applyAlignment="1" applyProtection="1">
      <alignment horizontal="center" vertical="center"/>
    </xf>
    <xf numFmtId="0" fontId="20" fillId="5" borderId="178" xfId="7" applyFont="1" applyFill="1" applyBorder="1" applyAlignment="1" applyProtection="1">
      <alignment horizontal="center" vertical="center"/>
    </xf>
    <xf numFmtId="0" fontId="20" fillId="0" borderId="63" xfId="7" applyFont="1" applyFill="1" applyBorder="1" applyAlignment="1" applyProtection="1">
      <alignment horizontal="center" vertical="center"/>
      <protection locked="0"/>
    </xf>
    <xf numFmtId="0" fontId="20" fillId="0" borderId="82" xfId="7" applyFont="1" applyFill="1" applyBorder="1" applyAlignment="1" applyProtection="1">
      <alignment horizontal="center" vertical="center"/>
      <protection locked="0"/>
    </xf>
    <xf numFmtId="0" fontId="20" fillId="5" borderId="255" xfId="7" applyFont="1" applyFill="1" applyBorder="1" applyAlignment="1" applyProtection="1">
      <alignment horizontal="center" vertical="center"/>
    </xf>
    <xf numFmtId="0" fontId="4" fillId="0" borderId="4" xfId="7" applyFont="1" applyBorder="1" applyAlignment="1" applyProtection="1">
      <alignment horizontal="center" vertical="center"/>
    </xf>
    <xf numFmtId="0" fontId="4" fillId="0" borderId="5" xfId="7" applyFont="1" applyBorder="1" applyAlignment="1" applyProtection="1">
      <alignment horizontal="center" vertical="center"/>
    </xf>
    <xf numFmtId="0" fontId="4" fillId="0" borderId="6" xfId="7" applyFont="1" applyBorder="1" applyAlignment="1" applyProtection="1">
      <alignment horizontal="center" vertical="center"/>
    </xf>
    <xf numFmtId="0" fontId="4" fillId="0" borderId="55" xfId="7" applyFont="1" applyBorder="1" applyAlignment="1" applyProtection="1">
      <alignment horizontal="center" vertical="center"/>
    </xf>
    <xf numFmtId="0" fontId="4" fillId="0" borderId="54" xfId="7" applyFont="1" applyBorder="1" applyAlignment="1" applyProtection="1">
      <alignment horizontal="center" vertical="center"/>
    </xf>
    <xf numFmtId="0" fontId="4" fillId="0" borderId="71" xfId="7" applyFont="1" applyBorder="1" applyAlignment="1" applyProtection="1">
      <alignment horizontal="center" vertical="center"/>
    </xf>
    <xf numFmtId="0" fontId="20" fillId="7" borderId="122" xfId="7" applyFont="1" applyFill="1" applyBorder="1" applyAlignment="1" applyProtection="1">
      <alignment horizontal="center" vertical="center"/>
    </xf>
    <xf numFmtId="0" fontId="20" fillId="7" borderId="100" xfId="7" applyFont="1" applyFill="1" applyBorder="1" applyAlignment="1" applyProtection="1">
      <alignment horizontal="center" vertical="center"/>
    </xf>
    <xf numFmtId="0" fontId="20" fillId="7" borderId="156" xfId="7" applyFont="1" applyFill="1" applyBorder="1" applyAlignment="1" applyProtection="1">
      <alignment horizontal="center" vertical="center"/>
    </xf>
    <xf numFmtId="0" fontId="20" fillId="7" borderId="157" xfId="7" applyFont="1" applyFill="1" applyBorder="1" applyAlignment="1" applyProtection="1">
      <alignment horizontal="center" vertical="center"/>
    </xf>
    <xf numFmtId="0" fontId="20" fillId="7" borderId="258" xfId="7" applyFont="1" applyFill="1" applyBorder="1" applyAlignment="1" applyProtection="1">
      <alignment horizontal="center" vertical="center"/>
    </xf>
    <xf numFmtId="0" fontId="20" fillId="5" borderId="194" xfId="7" applyFont="1" applyFill="1" applyBorder="1" applyAlignment="1" applyProtection="1">
      <alignment horizontal="left" vertical="center"/>
    </xf>
    <xf numFmtId="0" fontId="20" fillId="5" borderId="207" xfId="7" applyFont="1" applyFill="1" applyBorder="1" applyAlignment="1" applyProtection="1">
      <alignment horizontal="left" vertical="center"/>
    </xf>
    <xf numFmtId="0" fontId="20" fillId="5" borderId="177" xfId="7" applyFont="1" applyFill="1" applyBorder="1" applyAlignment="1" applyProtection="1">
      <alignment horizontal="left" vertical="center"/>
    </xf>
    <xf numFmtId="0" fontId="20" fillId="0" borderId="112" xfId="7" applyFont="1" applyFill="1" applyBorder="1" applyAlignment="1" applyProtection="1">
      <alignment horizontal="center" vertical="center" wrapText="1"/>
      <protection locked="0"/>
    </xf>
    <xf numFmtId="0" fontId="20" fillId="0" borderId="113" xfId="7" applyFont="1" applyFill="1" applyBorder="1" applyAlignment="1" applyProtection="1">
      <alignment horizontal="center" vertical="center" wrapText="1"/>
      <protection locked="0"/>
    </xf>
    <xf numFmtId="0" fontId="20" fillId="0" borderId="116" xfId="7" applyFont="1" applyFill="1" applyBorder="1" applyAlignment="1" applyProtection="1">
      <alignment horizontal="left" vertical="center"/>
      <protection locked="0"/>
    </xf>
    <xf numFmtId="0" fontId="20" fillId="0" borderId="117" xfId="7" applyFont="1" applyFill="1" applyBorder="1" applyAlignment="1" applyProtection="1">
      <alignment horizontal="left" vertical="center"/>
      <protection locked="0"/>
    </xf>
    <xf numFmtId="0" fontId="20" fillId="0" borderId="118" xfId="7" applyFont="1" applyFill="1" applyBorder="1" applyAlignment="1" applyProtection="1">
      <alignment horizontal="left" vertical="center"/>
      <protection locked="0"/>
    </xf>
    <xf numFmtId="0" fontId="20" fillId="0" borderId="86" xfId="7" applyFont="1" applyFill="1" applyBorder="1" applyAlignment="1" applyProtection="1">
      <alignment horizontal="left" vertical="center" wrapText="1"/>
      <protection locked="0"/>
    </xf>
    <xf numFmtId="0" fontId="20" fillId="0" borderId="44" xfId="7" applyFont="1" applyFill="1" applyBorder="1" applyAlignment="1" applyProtection="1">
      <alignment horizontal="left" vertical="center" wrapText="1"/>
      <protection locked="0"/>
    </xf>
    <xf numFmtId="0" fontId="20" fillId="0" borderId="114" xfId="7" applyFont="1" applyFill="1" applyBorder="1" applyAlignment="1" applyProtection="1">
      <alignment horizontal="left" vertical="center" wrapText="1"/>
      <protection locked="0"/>
    </xf>
    <xf numFmtId="0" fontId="5" fillId="3" borderId="1" xfId="7" applyFont="1" applyFill="1" applyBorder="1" applyAlignment="1" applyProtection="1">
      <alignment horizontal="left" vertical="center"/>
    </xf>
    <xf numFmtId="0" fontId="5" fillId="3" borderId="2" xfId="7" applyFont="1" applyFill="1" applyBorder="1" applyAlignment="1" applyProtection="1">
      <alignment horizontal="left" vertical="center"/>
    </xf>
    <xf numFmtId="0" fontId="5" fillId="3" borderId="56" xfId="7" applyFont="1" applyFill="1" applyBorder="1" applyAlignment="1" applyProtection="1">
      <alignment horizontal="left" vertical="center"/>
    </xf>
    <xf numFmtId="0" fontId="34" fillId="5" borderId="125" xfId="7" applyFont="1" applyFill="1" applyBorder="1" applyAlignment="1" applyProtection="1">
      <alignment horizontal="left" vertical="center" wrapText="1"/>
    </xf>
    <xf numFmtId="0" fontId="34" fillId="5" borderId="2" xfId="7" applyFont="1" applyFill="1" applyBorder="1" applyAlignment="1" applyProtection="1">
      <alignment horizontal="left" vertical="center" wrapText="1"/>
    </xf>
    <xf numFmtId="0" fontId="34" fillId="5" borderId="56" xfId="7" applyFont="1" applyFill="1" applyBorder="1" applyAlignment="1" applyProtection="1">
      <alignment horizontal="left" vertical="center" wrapText="1"/>
    </xf>
    <xf numFmtId="0" fontId="20" fillId="5" borderId="112" xfId="7" applyFont="1" applyFill="1" applyBorder="1" applyAlignment="1" applyProtection="1">
      <alignment horizontal="left" vertical="center" wrapText="1"/>
    </xf>
    <xf numFmtId="0" fontId="20" fillId="0" borderId="80" xfId="7" applyFont="1" applyBorder="1" applyAlignment="1" applyProtection="1">
      <alignment horizontal="center" vertical="center"/>
      <protection locked="0"/>
    </xf>
    <xf numFmtId="0" fontId="20" fillId="0" borderId="77" xfId="7" applyFont="1" applyBorder="1" applyAlignment="1" applyProtection="1">
      <alignment horizontal="center" vertical="center"/>
      <protection locked="0"/>
    </xf>
    <xf numFmtId="0" fontId="20" fillId="0" borderId="24" xfId="7" applyFont="1" applyFill="1" applyBorder="1" applyAlignment="1" applyProtection="1">
      <alignment horizontal="left" vertical="center" wrapText="1"/>
      <protection locked="0"/>
    </xf>
    <xf numFmtId="0" fontId="20" fillId="0" borderId="97" xfId="7" applyFont="1" applyFill="1" applyBorder="1" applyAlignment="1" applyProtection="1">
      <alignment horizontal="left" vertical="center" wrapText="1"/>
      <protection locked="0"/>
    </xf>
    <xf numFmtId="0" fontId="20" fillId="0" borderId="86" xfId="7" applyFont="1" applyFill="1" applyBorder="1" applyAlignment="1" applyProtection="1">
      <alignment horizontal="center" vertical="center"/>
      <protection locked="0"/>
    </xf>
    <xf numFmtId="0" fontId="20" fillId="0" borderId="83" xfId="7" applyFont="1" applyFill="1" applyBorder="1" applyAlignment="1" applyProtection="1">
      <alignment horizontal="center" vertical="center"/>
      <protection locked="0"/>
    </xf>
    <xf numFmtId="0" fontId="20" fillId="5" borderId="56" xfId="7" applyFont="1" applyFill="1" applyBorder="1" applyAlignment="1" applyProtection="1">
      <alignment horizontal="center" vertical="center" wrapText="1"/>
    </xf>
    <xf numFmtId="0" fontId="20" fillId="5" borderId="8" xfId="7" applyFont="1" applyFill="1" applyBorder="1" applyAlignment="1" applyProtection="1">
      <alignment horizontal="center" vertical="center" wrapText="1"/>
    </xf>
    <xf numFmtId="0" fontId="20" fillId="5" borderId="71" xfId="7" applyFont="1" applyFill="1" applyBorder="1" applyAlignment="1" applyProtection="1">
      <alignment horizontal="center" vertical="center" wrapText="1"/>
    </xf>
    <xf numFmtId="0" fontId="20" fillId="5" borderId="142" xfId="7" applyFont="1" applyFill="1" applyBorder="1" applyAlignment="1" applyProtection="1">
      <alignment horizontal="left" vertical="center"/>
    </xf>
    <xf numFmtId="0" fontId="20" fillId="5" borderId="150" xfId="7" applyFont="1" applyFill="1" applyBorder="1" applyAlignment="1" applyProtection="1">
      <alignment horizontal="left" vertical="center"/>
    </xf>
    <xf numFmtId="0" fontId="31" fillId="5" borderId="13" xfId="7" applyFont="1" applyFill="1" applyBorder="1" applyAlignment="1" applyProtection="1">
      <alignment horizontal="center" vertical="center" wrapText="1"/>
    </xf>
    <xf numFmtId="0" fontId="31" fillId="5" borderId="7" xfId="7" applyFont="1" applyFill="1" applyBorder="1" applyAlignment="1" applyProtection="1">
      <alignment horizontal="center" vertical="center" wrapText="1"/>
    </xf>
    <xf numFmtId="0" fontId="31" fillId="5" borderId="14" xfId="7" applyFont="1" applyFill="1" applyBorder="1" applyAlignment="1" applyProtection="1">
      <alignment horizontal="center" vertical="center" wrapText="1"/>
    </xf>
    <xf numFmtId="0" fontId="20" fillId="5" borderId="175" xfId="7" applyFont="1" applyFill="1" applyBorder="1" applyAlignment="1" applyProtection="1">
      <alignment horizontal="left" vertical="center" wrapText="1" indent="2"/>
    </xf>
    <xf numFmtId="0" fontId="20" fillId="5" borderId="148" xfId="7" applyFont="1" applyFill="1" applyBorder="1" applyAlignment="1" applyProtection="1">
      <alignment horizontal="left" vertical="center" wrapText="1" indent="2"/>
    </xf>
    <xf numFmtId="0" fontId="20" fillId="5" borderId="210" xfId="7" applyFont="1" applyFill="1" applyBorder="1" applyAlignment="1" applyProtection="1">
      <alignment horizontal="left" vertical="center" wrapText="1" indent="2"/>
    </xf>
    <xf numFmtId="0" fontId="20" fillId="5" borderId="198" xfId="7" applyFont="1" applyFill="1" applyBorder="1" applyAlignment="1" applyProtection="1">
      <alignment horizontal="left" vertical="center" wrapText="1" indent="2"/>
    </xf>
    <xf numFmtId="0" fontId="20" fillId="5" borderId="54" xfId="7" applyFont="1" applyFill="1" applyBorder="1" applyAlignment="1" applyProtection="1">
      <alignment horizontal="left" vertical="center" wrapText="1" indent="2"/>
    </xf>
    <xf numFmtId="0" fontId="20" fillId="5" borderId="64" xfId="7" applyFont="1" applyFill="1" applyBorder="1" applyAlignment="1" applyProtection="1">
      <alignment horizontal="left" vertical="center" wrapText="1" indent="2"/>
    </xf>
    <xf numFmtId="0" fontId="20" fillId="7" borderId="257" xfId="7" applyFont="1" applyFill="1" applyBorder="1" applyAlignment="1" applyProtection="1">
      <alignment horizontal="center" vertical="center"/>
    </xf>
    <xf numFmtId="0" fontId="20" fillId="7" borderId="158" xfId="7" applyFont="1" applyFill="1" applyBorder="1" applyAlignment="1" applyProtection="1">
      <alignment horizontal="center" vertical="center"/>
    </xf>
    <xf numFmtId="0" fontId="20" fillId="5" borderId="260" xfId="7" applyFont="1" applyFill="1" applyBorder="1" applyAlignment="1" applyProtection="1">
      <alignment horizontal="left" vertical="center"/>
    </xf>
    <xf numFmtId="0" fontId="20" fillId="5" borderId="261" xfId="7" applyFont="1" applyFill="1" applyBorder="1" applyAlignment="1" applyProtection="1">
      <alignment horizontal="left" vertical="center"/>
    </xf>
    <xf numFmtId="0" fontId="20" fillId="5" borderId="141" xfId="7" applyFont="1" applyFill="1" applyBorder="1" applyAlignment="1" applyProtection="1">
      <alignment horizontal="center" vertical="center"/>
    </xf>
    <xf numFmtId="0" fontId="20" fillId="5" borderId="209" xfId="7" applyFont="1" applyFill="1" applyBorder="1" applyAlignment="1" applyProtection="1">
      <alignment horizontal="left" vertical="center"/>
    </xf>
    <xf numFmtId="0" fontId="20" fillId="5" borderId="220" xfId="7" applyFont="1" applyFill="1" applyBorder="1" applyAlignment="1" applyProtection="1">
      <alignment horizontal="left" vertical="center"/>
    </xf>
    <xf numFmtId="0" fontId="20" fillId="5" borderId="262" xfId="7" applyFont="1" applyFill="1" applyBorder="1" applyAlignment="1" applyProtection="1">
      <alignment horizontal="left" vertical="center"/>
    </xf>
    <xf numFmtId="0" fontId="20" fillId="5" borderId="263" xfId="7" applyFont="1" applyFill="1" applyBorder="1" applyAlignment="1" applyProtection="1">
      <alignment horizontal="left" vertical="center"/>
    </xf>
    <xf numFmtId="0" fontId="20" fillId="5" borderId="183" xfId="7" applyFont="1" applyFill="1" applyBorder="1" applyAlignment="1" applyProtection="1">
      <alignment horizontal="left" vertical="center"/>
    </xf>
    <xf numFmtId="0" fontId="20" fillId="5" borderId="224" xfId="7" applyFont="1" applyFill="1" applyBorder="1" applyAlignment="1" applyProtection="1">
      <alignment horizontal="left" vertical="center"/>
    </xf>
    <xf numFmtId="0" fontId="20" fillId="5" borderId="217" xfId="7" applyFont="1" applyFill="1" applyBorder="1" applyAlignment="1" applyProtection="1">
      <alignment horizontal="left" vertical="center"/>
    </xf>
    <xf numFmtId="0" fontId="20" fillId="7" borderId="1" xfId="7" applyFont="1" applyFill="1" applyBorder="1" applyAlignment="1" applyProtection="1">
      <alignment horizontal="center" vertical="center"/>
    </xf>
    <xf numFmtId="0" fontId="20" fillId="7" borderId="3" xfId="7" applyFont="1" applyFill="1" applyBorder="1" applyAlignment="1" applyProtection="1">
      <alignment horizontal="center" vertical="center"/>
    </xf>
    <xf numFmtId="0" fontId="20" fillId="7" borderId="55" xfId="7" applyFont="1" applyFill="1" applyBorder="1" applyAlignment="1" applyProtection="1">
      <alignment horizontal="center" vertical="center"/>
    </xf>
    <xf numFmtId="0" fontId="20" fillId="5" borderId="163" xfId="7" applyFont="1" applyFill="1" applyBorder="1" applyAlignment="1" applyProtection="1">
      <alignment horizontal="center" vertical="center"/>
    </xf>
    <xf numFmtId="0" fontId="20" fillId="5" borderId="206" xfId="7" applyFont="1" applyFill="1" applyBorder="1" applyAlignment="1" applyProtection="1">
      <alignment horizontal="center" vertical="center"/>
    </xf>
    <xf numFmtId="0" fontId="20" fillId="5" borderId="223" xfId="7" applyFont="1" applyFill="1" applyBorder="1" applyAlignment="1" applyProtection="1">
      <alignment horizontal="center" vertical="center"/>
    </xf>
    <xf numFmtId="0" fontId="20" fillId="5" borderId="141" xfId="7" applyFont="1" applyFill="1" applyBorder="1" applyAlignment="1" applyProtection="1">
      <alignment horizontal="left" vertical="center"/>
    </xf>
    <xf numFmtId="0" fontId="20" fillId="5" borderId="184" xfId="7" applyFont="1" applyFill="1" applyBorder="1" applyAlignment="1" applyProtection="1">
      <alignment horizontal="left" vertical="center"/>
    </xf>
    <xf numFmtId="0" fontId="20" fillId="5" borderId="153" xfId="7" applyFont="1" applyFill="1" applyBorder="1" applyAlignment="1" applyProtection="1">
      <alignment horizontal="left" vertical="center"/>
    </xf>
    <xf numFmtId="0" fontId="20" fillId="5" borderId="173" xfId="7" applyFont="1" applyFill="1" applyBorder="1" applyAlignment="1" applyProtection="1">
      <alignment horizontal="left" vertical="center"/>
    </xf>
    <xf numFmtId="0" fontId="20" fillId="5" borderId="225" xfId="7" applyFont="1" applyFill="1" applyBorder="1" applyAlignment="1" applyProtection="1">
      <alignment horizontal="left" vertical="center"/>
    </xf>
    <xf numFmtId="0" fontId="20" fillId="5" borderId="226" xfId="7" applyFont="1" applyFill="1" applyBorder="1" applyAlignment="1" applyProtection="1">
      <alignment horizontal="left" vertical="center"/>
    </xf>
    <xf numFmtId="0" fontId="20" fillId="5" borderId="179" xfId="7" applyFont="1" applyFill="1" applyBorder="1" applyAlignment="1" applyProtection="1">
      <alignment horizontal="center" vertical="center"/>
    </xf>
    <xf numFmtId="0" fontId="20" fillId="0" borderId="66" xfId="7" applyFont="1" applyBorder="1" applyAlignment="1" applyProtection="1">
      <alignment horizontal="left" vertical="center"/>
      <protection locked="0"/>
    </xf>
    <xf numFmtId="0" fontId="20" fillId="0" borderId="78" xfId="7" applyFont="1" applyBorder="1" applyAlignment="1" applyProtection="1">
      <alignment horizontal="left" vertical="center"/>
      <protection locked="0"/>
    </xf>
    <xf numFmtId="0" fontId="20" fillId="0" borderId="80" xfId="7" applyFont="1" applyBorder="1" applyAlignment="1" applyProtection="1">
      <alignment horizontal="left" vertical="center"/>
      <protection locked="0"/>
    </xf>
    <xf numFmtId="0" fontId="20" fillId="0" borderId="77" xfId="7" applyFont="1" applyBorder="1" applyAlignment="1" applyProtection="1">
      <alignment horizontal="left" vertical="center"/>
      <protection locked="0"/>
    </xf>
    <xf numFmtId="0" fontId="20" fillId="7" borderId="209" xfId="7" applyFont="1" applyFill="1" applyBorder="1" applyAlignment="1" applyProtection="1">
      <alignment horizontal="left" vertical="center"/>
    </xf>
    <xf numFmtId="0" fontId="20" fillId="7" borderId="220" xfId="7" applyFont="1" applyFill="1" applyBorder="1" applyAlignment="1" applyProtection="1">
      <alignment horizontal="left" vertical="center"/>
    </xf>
    <xf numFmtId="0" fontId="20" fillId="7" borderId="250" xfId="7" applyFont="1" applyFill="1" applyBorder="1" applyAlignment="1" applyProtection="1">
      <alignment horizontal="left" vertical="center"/>
    </xf>
    <xf numFmtId="0" fontId="20" fillId="7" borderId="175" xfId="7" applyFont="1" applyFill="1" applyBorder="1" applyAlignment="1" applyProtection="1">
      <alignment horizontal="center" vertical="center"/>
    </xf>
    <xf numFmtId="0" fontId="20" fillId="7" borderId="148" xfId="7" applyFont="1" applyFill="1" applyBorder="1" applyAlignment="1" applyProtection="1">
      <alignment horizontal="center" vertical="center"/>
    </xf>
    <xf numFmtId="0" fontId="20" fillId="7" borderId="243" xfId="7" applyFont="1" applyFill="1" applyBorder="1" applyAlignment="1" applyProtection="1">
      <alignment horizontal="center" vertical="center"/>
    </xf>
    <xf numFmtId="0" fontId="20" fillId="5" borderId="119" xfId="7" applyFont="1" applyFill="1" applyBorder="1" applyAlignment="1" applyProtection="1">
      <alignment horizontal="left" vertical="center"/>
    </xf>
    <xf numFmtId="0" fontId="20" fillId="5" borderId="259" xfId="7" applyFont="1" applyFill="1" applyBorder="1" applyAlignment="1" applyProtection="1">
      <alignment horizontal="left" vertical="center"/>
    </xf>
    <xf numFmtId="0" fontId="20" fillId="5" borderId="127" xfId="7" applyFont="1" applyFill="1" applyBorder="1" applyAlignment="1" applyProtection="1">
      <alignment horizontal="left" vertical="center" wrapText="1"/>
    </xf>
    <xf numFmtId="0" fontId="20" fillId="7" borderId="120" xfId="7" applyFont="1" applyFill="1" applyBorder="1" applyAlignment="1" applyProtection="1">
      <alignment horizontal="center" vertical="center"/>
    </xf>
    <xf numFmtId="0" fontId="20" fillId="7" borderId="117" xfId="7" applyFont="1" applyFill="1" applyBorder="1" applyAlignment="1" applyProtection="1">
      <alignment horizontal="center" vertical="center"/>
    </xf>
    <xf numFmtId="0" fontId="20" fillId="5" borderId="156" xfId="7" applyFont="1" applyFill="1" applyBorder="1" applyAlignment="1" applyProtection="1">
      <alignment horizontal="center" vertical="center"/>
    </xf>
    <xf numFmtId="0" fontId="20" fillId="5" borderId="157" xfId="7" applyFont="1" applyFill="1" applyBorder="1" applyAlignment="1" applyProtection="1">
      <alignment horizontal="center" vertical="center"/>
    </xf>
    <xf numFmtId="0" fontId="20" fillId="5" borderId="158" xfId="7" applyFont="1" applyFill="1" applyBorder="1" applyAlignment="1" applyProtection="1">
      <alignment horizontal="center" vertical="center"/>
    </xf>
    <xf numFmtId="0" fontId="20" fillId="0" borderId="86" xfId="7" applyFont="1" applyBorder="1" applyAlignment="1" applyProtection="1">
      <alignment horizontal="left" vertical="center"/>
      <protection locked="0"/>
    </xf>
    <xf numFmtId="0" fontId="20" fillId="0" borderId="44" xfId="7" applyFont="1" applyBorder="1" applyAlignment="1" applyProtection="1">
      <alignment horizontal="left" vertical="center"/>
      <protection locked="0"/>
    </xf>
    <xf numFmtId="0" fontId="20" fillId="0" borderId="114" xfId="7" applyFont="1" applyBorder="1" applyAlignment="1" applyProtection="1">
      <alignment horizontal="left" vertical="center"/>
      <protection locked="0"/>
    </xf>
    <xf numFmtId="0" fontId="20" fillId="0" borderId="80" xfId="7" applyFont="1" applyBorder="1" applyAlignment="1" applyProtection="1">
      <alignment horizontal="left" vertical="center" wrapText="1"/>
      <protection locked="0"/>
    </xf>
    <xf numFmtId="0" fontId="20" fillId="0" borderId="77" xfId="7" applyFont="1" applyBorder="1" applyAlignment="1" applyProtection="1">
      <alignment horizontal="left" vertical="center" wrapText="1"/>
      <protection locked="0"/>
    </xf>
    <xf numFmtId="0" fontId="20" fillId="5" borderId="167" xfId="7" applyFont="1" applyFill="1" applyBorder="1" applyAlignment="1" applyProtection="1">
      <alignment horizontal="center" vertical="center"/>
    </xf>
    <xf numFmtId="0" fontId="20" fillId="5" borderId="144" xfId="7" applyFont="1" applyFill="1" applyBorder="1" applyAlignment="1" applyProtection="1">
      <alignment horizontal="center" vertical="center"/>
    </xf>
    <xf numFmtId="0" fontId="20" fillId="5" borderId="243" xfId="7" applyFont="1" applyFill="1" applyBorder="1" applyAlignment="1" applyProtection="1">
      <alignment horizontal="left" vertical="center"/>
    </xf>
    <xf numFmtId="0" fontId="20" fillId="5" borderId="212" xfId="7" applyFont="1" applyFill="1" applyBorder="1" applyAlignment="1" applyProtection="1">
      <alignment horizontal="left" vertical="center"/>
    </xf>
    <xf numFmtId="0" fontId="20" fillId="5" borderId="116" xfId="7" applyFont="1" applyFill="1" applyBorder="1" applyAlignment="1" applyProtection="1">
      <alignment horizontal="center" vertical="center"/>
    </xf>
    <xf numFmtId="0" fontId="20" fillId="5" borderId="117" xfId="7" applyFont="1" applyFill="1" applyBorder="1" applyAlignment="1" applyProtection="1">
      <alignment horizontal="center" vertical="center"/>
    </xf>
    <xf numFmtId="0" fontId="20" fillId="5" borderId="118" xfId="7" applyFont="1" applyFill="1" applyBorder="1" applyAlignment="1" applyProtection="1">
      <alignment horizontal="center" vertical="center"/>
    </xf>
    <xf numFmtId="0" fontId="20" fillId="5" borderId="153" xfId="7" applyFont="1" applyFill="1" applyBorder="1" applyAlignment="1" applyProtection="1">
      <alignment horizontal="center" vertical="center"/>
    </xf>
    <xf numFmtId="0" fontId="20" fillId="5" borderId="142" xfId="7" applyFont="1" applyFill="1" applyBorder="1" applyAlignment="1" applyProtection="1">
      <alignment horizontal="center" vertical="center"/>
    </xf>
    <xf numFmtId="0" fontId="20" fillId="5" borderId="243" xfId="7" applyFont="1" applyFill="1" applyBorder="1" applyAlignment="1" applyProtection="1">
      <alignment horizontal="center" vertical="center"/>
    </xf>
    <xf numFmtId="0" fontId="20" fillId="5" borderId="231" xfId="7" applyFont="1" applyFill="1" applyBorder="1" applyAlignment="1" applyProtection="1">
      <alignment horizontal="center" vertical="center"/>
    </xf>
    <xf numFmtId="0" fontId="20" fillId="5" borderId="176" xfId="7" applyFont="1" applyFill="1" applyBorder="1" applyAlignment="1" applyProtection="1">
      <alignment horizontal="center" vertical="center"/>
    </xf>
    <xf numFmtId="0" fontId="12" fillId="5" borderId="175" xfId="7" applyFont="1" applyFill="1" applyBorder="1" applyAlignment="1" applyProtection="1">
      <alignment horizontal="left" vertical="center" wrapText="1"/>
    </xf>
    <xf numFmtId="0" fontId="20" fillId="5" borderId="190" xfId="7" applyFont="1" applyFill="1" applyBorder="1" applyAlignment="1" applyProtection="1">
      <alignment horizontal="left" vertical="center"/>
    </xf>
    <xf numFmtId="0" fontId="20" fillId="0" borderId="66" xfId="7" applyFont="1" applyFill="1" applyBorder="1" applyAlignment="1" applyProtection="1">
      <alignment horizontal="left" vertical="center" wrapText="1"/>
      <protection locked="0"/>
    </xf>
    <xf numFmtId="0" fontId="20" fillId="0" borderId="78" xfId="7" applyFont="1" applyFill="1" applyBorder="1" applyAlignment="1" applyProtection="1">
      <alignment horizontal="left" vertical="center" wrapText="1"/>
      <protection locked="0"/>
    </xf>
    <xf numFmtId="0" fontId="20" fillId="5" borderId="162" xfId="7" applyFont="1" applyFill="1" applyBorder="1" applyAlignment="1" applyProtection="1">
      <alignment horizontal="center" vertical="center"/>
    </xf>
    <xf numFmtId="0" fontId="20" fillId="5" borderId="142" xfId="7" applyFont="1" applyFill="1" applyBorder="1" applyAlignment="1" applyProtection="1">
      <alignment horizontal="center" vertical="center" wrapText="1"/>
    </xf>
    <xf numFmtId="0" fontId="20" fillId="5" borderId="224" xfId="7" applyFont="1" applyFill="1" applyBorder="1" applyAlignment="1" applyProtection="1">
      <alignment horizontal="center" vertical="center" wrapText="1"/>
    </xf>
    <xf numFmtId="0" fontId="20" fillId="5" borderId="185" xfId="7" applyFont="1" applyFill="1" applyBorder="1" applyAlignment="1" applyProtection="1">
      <alignment horizontal="center" vertical="center" wrapText="1"/>
    </xf>
    <xf numFmtId="0" fontId="20" fillId="5" borderId="211" xfId="7" applyFont="1" applyFill="1" applyBorder="1" applyAlignment="1" applyProtection="1">
      <alignment horizontal="center" vertical="center" wrapText="1"/>
    </xf>
    <xf numFmtId="0" fontId="20" fillId="5" borderId="225" xfId="7" applyFont="1" applyFill="1" applyBorder="1" applyAlignment="1" applyProtection="1">
      <alignment horizontal="left" vertical="center" wrapText="1"/>
    </xf>
    <xf numFmtId="0" fontId="20" fillId="5" borderId="226" xfId="7" applyFont="1" applyFill="1" applyBorder="1" applyAlignment="1" applyProtection="1">
      <alignment horizontal="left" vertical="center" wrapText="1"/>
    </xf>
    <xf numFmtId="0" fontId="20" fillId="5" borderId="140" xfId="7" applyFont="1" applyFill="1" applyBorder="1" applyAlignment="1" applyProtection="1">
      <alignment horizontal="left" vertical="center"/>
    </xf>
    <xf numFmtId="0" fontId="20" fillId="5" borderId="198" xfId="7" applyFont="1" applyFill="1" applyBorder="1" applyAlignment="1" applyProtection="1">
      <alignment horizontal="left" vertical="center"/>
    </xf>
    <xf numFmtId="0" fontId="20" fillId="5" borderId="54" xfId="7" applyFont="1" applyFill="1" applyBorder="1" applyAlignment="1" applyProtection="1">
      <alignment horizontal="left" vertical="center"/>
    </xf>
    <xf numFmtId="0" fontId="20" fillId="7" borderId="123" xfId="7" applyFont="1" applyFill="1" applyBorder="1" applyAlignment="1" applyProtection="1">
      <alignment horizontal="center" vertical="center"/>
    </xf>
    <xf numFmtId="9" fontId="20" fillId="5" borderId="141" xfId="7" applyNumberFormat="1" applyFont="1" applyFill="1" applyBorder="1" applyAlignment="1" applyProtection="1">
      <alignment horizontal="center" vertical="center" wrapText="1"/>
    </xf>
    <xf numFmtId="0" fontId="34" fillId="5" borderId="140" xfId="7" applyFont="1" applyFill="1" applyBorder="1" applyAlignment="1" applyProtection="1">
      <alignment horizontal="left" vertical="center" wrapText="1"/>
    </xf>
    <xf numFmtId="0" fontId="34" fillId="5" borderId="0" xfId="7" applyFont="1" applyFill="1" applyBorder="1" applyAlignment="1" applyProtection="1">
      <alignment horizontal="left" vertical="center" wrapText="1"/>
    </xf>
    <xf numFmtId="0" fontId="34" fillId="5" borderId="0" xfId="7" applyFont="1" applyFill="1" applyBorder="1" applyAlignment="1" applyProtection="1">
      <alignment horizontal="left" vertical="center"/>
    </xf>
    <xf numFmtId="0" fontId="34" fillId="5" borderId="198" xfId="7" applyFont="1" applyFill="1" applyBorder="1" applyAlignment="1" applyProtection="1">
      <alignment horizontal="left" vertical="center"/>
    </xf>
    <xf numFmtId="0" fontId="34" fillId="5" borderId="54" xfId="7" applyFont="1" applyFill="1" applyBorder="1" applyAlignment="1" applyProtection="1">
      <alignment horizontal="left" vertical="center"/>
    </xf>
    <xf numFmtId="0" fontId="20" fillId="5" borderId="141" xfId="7" applyFont="1" applyFill="1" applyBorder="1" applyAlignment="1" applyProtection="1">
      <alignment horizontal="center" vertical="center" wrapText="1"/>
    </xf>
    <xf numFmtId="0" fontId="20" fillId="5" borderId="227" xfId="7" applyFont="1" applyFill="1" applyBorder="1" applyAlignment="1" applyProtection="1">
      <alignment horizontal="center" vertical="center" wrapText="1"/>
    </xf>
    <xf numFmtId="0" fontId="20" fillId="5" borderId="167" xfId="7" applyFont="1" applyFill="1" applyBorder="1" applyAlignment="1" applyProtection="1">
      <alignment horizontal="center" vertical="center" wrapText="1"/>
    </xf>
    <xf numFmtId="0" fontId="20" fillId="5" borderId="144" xfId="7" applyFont="1" applyFill="1" applyBorder="1" applyAlignment="1" applyProtection="1">
      <alignment horizontal="center" vertical="center" wrapText="1"/>
    </xf>
    <xf numFmtId="0" fontId="20" fillId="0" borderId="91" xfId="7" applyFont="1" applyFill="1" applyBorder="1" applyAlignment="1" applyProtection="1">
      <alignment horizontal="left" vertical="center" wrapText="1"/>
      <protection locked="0"/>
    </xf>
    <xf numFmtId="0" fontId="20" fillId="0" borderId="5" xfId="7" applyFont="1" applyFill="1" applyBorder="1" applyAlignment="1" applyProtection="1">
      <alignment horizontal="left" vertical="center" wrapText="1"/>
      <protection locked="0"/>
    </xf>
    <xf numFmtId="0" fontId="20" fillId="0" borderId="6" xfId="7" applyFont="1" applyFill="1" applyBorder="1" applyAlignment="1" applyProtection="1">
      <alignment horizontal="left" vertical="center" wrapText="1"/>
      <protection locked="0"/>
    </xf>
    <xf numFmtId="0" fontId="20" fillId="5" borderId="192" xfId="7" applyFont="1" applyFill="1" applyBorder="1" applyAlignment="1" applyProtection="1">
      <alignment horizontal="center" vertical="center" wrapText="1"/>
    </xf>
    <xf numFmtId="0" fontId="20" fillId="5" borderId="178" xfId="7" applyFont="1" applyFill="1" applyBorder="1" applyAlignment="1" applyProtection="1">
      <alignment horizontal="center" vertical="center" wrapText="1"/>
    </xf>
    <xf numFmtId="0" fontId="20" fillId="5" borderId="199" xfId="7" applyFont="1" applyFill="1" applyBorder="1" applyAlignment="1" applyProtection="1">
      <alignment horizontal="center" vertical="center" wrapText="1"/>
    </xf>
    <xf numFmtId="0" fontId="20" fillId="0" borderId="80" xfId="7" applyFont="1" applyFill="1" applyBorder="1" applyAlignment="1" applyProtection="1">
      <alignment horizontal="left" vertical="center" wrapText="1"/>
      <protection locked="0"/>
    </xf>
    <xf numFmtId="0" fontId="20" fillId="0" borderId="77" xfId="7" applyFont="1" applyFill="1" applyBorder="1" applyAlignment="1" applyProtection="1">
      <alignment horizontal="left" vertical="center" wrapText="1"/>
      <protection locked="0"/>
    </xf>
    <xf numFmtId="0" fontId="20" fillId="0" borderId="63" xfId="7" applyFont="1" applyFill="1" applyBorder="1" applyAlignment="1" applyProtection="1">
      <alignment horizontal="center" vertical="center" wrapText="1"/>
      <protection locked="0"/>
    </xf>
    <xf numFmtId="0" fontId="20" fillId="0" borderId="82" xfId="7" applyFont="1" applyFill="1" applyBorder="1" applyAlignment="1" applyProtection="1">
      <alignment horizontal="center" vertical="center" wrapText="1"/>
      <protection locked="0"/>
    </xf>
    <xf numFmtId="0" fontId="20" fillId="5" borderId="100" xfId="7" quotePrefix="1" applyFont="1" applyFill="1" applyBorder="1" applyAlignment="1" applyProtection="1">
      <alignment horizontal="center" vertical="center" wrapText="1"/>
    </xf>
    <xf numFmtId="0" fontId="20" fillId="0" borderId="116" xfId="7" applyFont="1" applyFill="1" applyBorder="1" applyAlignment="1" applyProtection="1">
      <alignment horizontal="center" vertical="center"/>
      <protection locked="0"/>
    </xf>
    <xf numFmtId="0" fontId="20" fillId="0" borderId="117" xfId="7" applyFont="1" applyFill="1" applyBorder="1" applyAlignment="1" applyProtection="1">
      <alignment horizontal="center" vertical="center"/>
      <protection locked="0"/>
    </xf>
    <xf numFmtId="0" fontId="20" fillId="0" borderId="118" xfId="7" applyFont="1" applyFill="1" applyBorder="1" applyAlignment="1" applyProtection="1">
      <alignment horizontal="center" vertical="center"/>
      <protection locked="0"/>
    </xf>
    <xf numFmtId="0" fontId="20" fillId="0" borderId="24" xfId="7" applyFont="1" applyFill="1" applyBorder="1" applyAlignment="1" applyProtection="1">
      <alignment horizontal="center" vertical="center"/>
      <protection locked="0"/>
    </xf>
    <xf numFmtId="0" fontId="20" fillId="0" borderId="97" xfId="7" applyFont="1" applyFill="1" applyBorder="1" applyAlignment="1" applyProtection="1">
      <alignment horizontal="center" vertical="center"/>
      <protection locked="0"/>
    </xf>
    <xf numFmtId="0" fontId="20" fillId="5" borderId="181" xfId="7" quotePrefix="1" applyFont="1" applyFill="1" applyBorder="1" applyAlignment="1" applyProtection="1">
      <alignment horizontal="center" vertical="center" wrapText="1"/>
    </xf>
    <xf numFmtId="0" fontId="20" fillId="5" borderId="101" xfId="7" quotePrefix="1" applyFont="1" applyFill="1" applyBorder="1" applyAlignment="1" applyProtection="1">
      <alignment horizontal="center" vertical="center" wrapText="1"/>
    </xf>
    <xf numFmtId="0" fontId="20" fillId="0" borderId="114" xfId="7" applyFont="1" applyFill="1" applyBorder="1" applyAlignment="1" applyProtection="1">
      <alignment horizontal="center" vertical="center"/>
      <protection locked="0"/>
    </xf>
    <xf numFmtId="0" fontId="20" fillId="5" borderId="180" xfId="7" quotePrefix="1" applyFont="1" applyFill="1" applyBorder="1" applyAlignment="1" applyProtection="1">
      <alignment horizontal="center" vertical="center" wrapText="1"/>
    </xf>
    <xf numFmtId="0" fontId="20" fillId="5" borderId="203" xfId="7" applyFont="1" applyFill="1" applyBorder="1" applyAlignment="1" applyProtection="1">
      <alignment horizontal="left" vertical="center"/>
    </xf>
    <xf numFmtId="0" fontId="20" fillId="5" borderId="2" xfId="7" applyFont="1" applyFill="1" applyBorder="1" applyAlignment="1" applyProtection="1">
      <alignment horizontal="left" vertical="center"/>
    </xf>
    <xf numFmtId="0" fontId="20" fillId="5" borderId="56" xfId="7" applyFont="1" applyFill="1" applyBorder="1" applyAlignment="1" applyProtection="1">
      <alignment horizontal="left" vertical="center"/>
    </xf>
    <xf numFmtId="0" fontId="20" fillId="0" borderId="86" xfId="7" applyFont="1" applyFill="1" applyBorder="1" applyAlignment="1" applyProtection="1">
      <alignment horizontal="center" vertical="center" wrapText="1"/>
      <protection locked="0"/>
    </xf>
    <xf numFmtId="0" fontId="20" fillId="0" borderId="83" xfId="7" applyFont="1" applyFill="1" applyBorder="1" applyAlignment="1" applyProtection="1">
      <alignment horizontal="center" vertical="center" wrapText="1"/>
      <protection locked="0"/>
    </xf>
    <xf numFmtId="0" fontId="20" fillId="7" borderId="69" xfId="7" applyFont="1" applyFill="1" applyBorder="1" applyAlignment="1" applyProtection="1">
      <alignment horizontal="center" vertical="center"/>
    </xf>
    <xf numFmtId="0" fontId="20" fillId="0" borderId="63" xfId="7" applyFont="1" applyFill="1" applyBorder="1" applyAlignment="1" applyProtection="1">
      <alignment horizontal="left" vertical="center" wrapText="1"/>
      <protection locked="0"/>
    </xf>
    <xf numFmtId="0" fontId="20" fillId="0" borderId="44" xfId="7" applyFont="1" applyFill="1" applyBorder="1" applyAlignment="1" applyProtection="1">
      <alignment horizontal="center" vertical="center"/>
      <protection locked="0"/>
    </xf>
    <xf numFmtId="0" fontId="20" fillId="5" borderId="264" xfId="7" applyFont="1" applyFill="1" applyBorder="1" applyAlignment="1" applyProtection="1">
      <alignment horizontal="left" vertical="center" wrapText="1" indent="2"/>
    </xf>
    <xf numFmtId="0" fontId="20" fillId="5" borderId="265" xfId="7" applyFont="1" applyFill="1" applyBorder="1" applyAlignment="1" applyProtection="1">
      <alignment horizontal="left" vertical="center" wrapText="1" indent="2"/>
    </xf>
    <xf numFmtId="0" fontId="20" fillId="5" borderId="266" xfId="7" applyFont="1" applyFill="1" applyBorder="1" applyAlignment="1" applyProtection="1">
      <alignment horizontal="left" vertical="center" wrapText="1" indent="2"/>
    </xf>
    <xf numFmtId="0" fontId="20" fillId="5" borderId="170" xfId="7" applyFont="1" applyFill="1" applyBorder="1" applyAlignment="1" applyProtection="1">
      <alignment horizontal="center" vertical="center" wrapText="1"/>
    </xf>
    <xf numFmtId="0" fontId="20" fillId="5" borderId="267" xfId="7" applyFont="1" applyFill="1" applyBorder="1" applyAlignment="1" applyProtection="1">
      <alignment horizontal="center" vertical="center" wrapText="1"/>
    </xf>
    <xf numFmtId="0" fontId="20" fillId="5" borderId="174" xfId="7" applyFont="1" applyFill="1" applyBorder="1" applyAlignment="1" applyProtection="1">
      <alignment horizontal="left" vertical="center" wrapText="1"/>
    </xf>
    <xf numFmtId="0" fontId="20" fillId="5" borderId="271" xfId="7" applyFont="1" applyFill="1" applyBorder="1" applyAlignment="1" applyProtection="1">
      <alignment horizontal="left" vertical="center" wrapText="1"/>
    </xf>
    <xf numFmtId="0" fontId="20" fillId="0" borderId="91" xfId="7" applyFont="1" applyFill="1" applyBorder="1" applyAlignment="1" applyProtection="1">
      <alignment horizontal="center" vertical="center" wrapText="1"/>
      <protection locked="0"/>
    </xf>
    <xf numFmtId="0" fontId="20" fillId="0" borderId="6" xfId="7" applyFont="1" applyFill="1" applyBorder="1" applyAlignment="1" applyProtection="1">
      <alignment horizontal="center" vertical="center" wrapText="1"/>
      <protection locked="0"/>
    </xf>
    <xf numFmtId="0" fontId="20" fillId="0" borderId="68" xfId="7" applyFont="1" applyFill="1" applyBorder="1" applyAlignment="1" applyProtection="1">
      <alignment horizontal="center" vertical="center" wrapText="1"/>
      <protection locked="0"/>
    </xf>
    <xf numFmtId="0" fontId="20" fillId="0" borderId="71" xfId="7" applyFont="1" applyFill="1" applyBorder="1" applyAlignment="1" applyProtection="1">
      <alignment horizontal="center" vertical="center" wrapText="1"/>
      <protection locked="0"/>
    </xf>
    <xf numFmtId="0" fontId="20" fillId="0" borderId="130" xfId="7" applyFont="1" applyBorder="1" applyAlignment="1" applyProtection="1">
      <alignment horizontal="center" vertical="center" wrapText="1"/>
      <protection locked="0"/>
    </xf>
    <xf numFmtId="0" fontId="20" fillId="0" borderId="131" xfId="7" applyFont="1" applyBorder="1" applyAlignment="1" applyProtection="1">
      <alignment horizontal="center" vertical="center" wrapText="1"/>
      <protection locked="0"/>
    </xf>
    <xf numFmtId="0" fontId="20" fillId="0" borderId="94" xfId="7" applyFont="1" applyFill="1" applyBorder="1" applyAlignment="1" applyProtection="1">
      <alignment horizontal="center" vertical="center" wrapText="1"/>
      <protection locked="0"/>
    </xf>
    <xf numFmtId="0" fontId="20" fillId="0" borderId="135" xfId="7" applyFont="1" applyFill="1" applyBorder="1" applyAlignment="1" applyProtection="1">
      <alignment horizontal="center" vertical="center" wrapText="1"/>
      <protection locked="0"/>
    </xf>
    <xf numFmtId="0" fontId="20" fillId="0" borderId="81" xfId="7" applyFont="1" applyFill="1" applyBorder="1" applyAlignment="1" applyProtection="1">
      <alignment horizontal="center" vertical="center" wrapText="1"/>
      <protection locked="0"/>
    </xf>
    <xf numFmtId="0" fontId="20" fillId="0" borderId="79" xfId="7" applyFont="1" applyFill="1" applyBorder="1" applyAlignment="1" applyProtection="1">
      <alignment horizontal="center" vertical="center" wrapText="1"/>
      <protection locked="0"/>
    </xf>
    <xf numFmtId="0" fontId="20" fillId="0" borderId="132" xfId="7" applyFont="1" applyBorder="1" applyAlignment="1" applyProtection="1">
      <alignment horizontal="center" vertical="center" wrapText="1"/>
      <protection locked="0"/>
    </xf>
    <xf numFmtId="0" fontId="20" fillId="0" borderId="133" xfId="7" applyFont="1" applyFill="1" applyBorder="1" applyAlignment="1" applyProtection="1">
      <alignment horizontal="center" vertical="center" wrapText="1"/>
      <protection locked="0"/>
    </xf>
    <xf numFmtId="0" fontId="20" fillId="0" borderId="96" xfId="7" applyFont="1" applyFill="1" applyBorder="1" applyAlignment="1" applyProtection="1">
      <alignment horizontal="center" vertical="center" wrapText="1"/>
      <protection locked="0"/>
    </xf>
    <xf numFmtId="0" fontId="20" fillId="0" borderId="126" xfId="7" applyFont="1" applyFill="1" applyBorder="1" applyAlignment="1" applyProtection="1">
      <alignment horizontal="center" vertical="center"/>
      <protection locked="0"/>
    </xf>
    <xf numFmtId="0" fontId="20" fillId="0" borderId="100" xfId="7" applyFont="1" applyFill="1" applyBorder="1" applyAlignment="1" applyProtection="1">
      <alignment horizontal="center" vertical="center"/>
      <protection locked="0"/>
    </xf>
    <xf numFmtId="0" fontId="20" fillId="0" borderId="101" xfId="7" applyFont="1" applyFill="1" applyBorder="1" applyAlignment="1" applyProtection="1">
      <alignment horizontal="center" vertical="center"/>
      <protection locked="0"/>
    </xf>
    <xf numFmtId="0" fontId="20" fillId="5" borderId="269" xfId="7" applyFont="1" applyFill="1" applyBorder="1" applyAlignment="1" applyProtection="1">
      <alignment horizontal="center" vertical="center"/>
    </xf>
    <xf numFmtId="0" fontId="20" fillId="5" borderId="250" xfId="7" applyFont="1" applyFill="1" applyBorder="1" applyAlignment="1" applyProtection="1">
      <alignment horizontal="center" vertical="center"/>
    </xf>
    <xf numFmtId="0" fontId="20" fillId="5" borderId="269" xfId="7" applyFont="1" applyFill="1" applyBorder="1" applyAlignment="1" applyProtection="1">
      <alignment horizontal="center" vertical="center" wrapText="1"/>
    </xf>
    <xf numFmtId="0" fontId="20" fillId="5" borderId="250" xfId="7" applyFont="1" applyFill="1" applyBorder="1" applyAlignment="1" applyProtection="1">
      <alignment horizontal="center" vertical="center" wrapText="1"/>
    </xf>
    <xf numFmtId="0" fontId="20" fillId="5" borderId="140" xfId="7" applyFont="1" applyFill="1" applyBorder="1" applyAlignment="1" applyProtection="1">
      <alignment horizontal="center" vertical="center"/>
    </xf>
    <xf numFmtId="0" fontId="20" fillId="5" borderId="0" xfId="7" applyFont="1" applyFill="1" applyBorder="1" applyAlignment="1" applyProtection="1">
      <alignment horizontal="center" vertical="center"/>
    </xf>
    <xf numFmtId="0" fontId="20" fillId="5" borderId="8" xfId="7" applyFont="1" applyFill="1" applyBorder="1" applyAlignment="1" applyProtection="1">
      <alignment horizontal="center" vertical="center"/>
    </xf>
    <xf numFmtId="0" fontId="20" fillId="5" borderId="209" xfId="7" applyFont="1" applyFill="1" applyBorder="1" applyAlignment="1" applyProtection="1">
      <alignment horizontal="center" vertical="center"/>
    </xf>
    <xf numFmtId="0" fontId="20" fillId="5" borderId="220" xfId="7" applyFont="1" applyFill="1" applyBorder="1" applyAlignment="1" applyProtection="1">
      <alignment horizontal="center" vertical="center"/>
    </xf>
    <xf numFmtId="0" fontId="20" fillId="0" borderId="63" xfId="7" applyFont="1" applyBorder="1" applyAlignment="1" applyProtection="1">
      <alignment horizontal="center" vertical="center"/>
      <protection locked="0"/>
    </xf>
    <xf numFmtId="0" fontId="20" fillId="0" borderId="24" xfId="7" applyFont="1" applyBorder="1" applyAlignment="1" applyProtection="1">
      <alignment horizontal="center" vertical="center"/>
      <protection locked="0"/>
    </xf>
    <xf numFmtId="0" fontId="20" fillId="0" borderId="97" xfId="7" applyFont="1" applyBorder="1" applyAlignment="1" applyProtection="1">
      <alignment horizontal="center" vertical="center"/>
      <protection locked="0"/>
    </xf>
    <xf numFmtId="0" fontId="20" fillId="5" borderId="270" xfId="7" applyFont="1" applyFill="1" applyBorder="1" applyAlignment="1" applyProtection="1">
      <alignment horizontal="center" vertical="center" wrapText="1"/>
    </xf>
    <xf numFmtId="0" fontId="20" fillId="5" borderId="132" xfId="7" applyFont="1" applyFill="1" applyBorder="1" applyAlignment="1" applyProtection="1">
      <alignment horizontal="center" vertical="center" wrapText="1"/>
    </xf>
    <xf numFmtId="0" fontId="20" fillId="5" borderId="268" xfId="7" applyFont="1" applyFill="1" applyBorder="1" applyAlignment="1" applyProtection="1">
      <alignment horizontal="center" vertical="center" wrapText="1"/>
    </xf>
    <xf numFmtId="0" fontId="20" fillId="5" borderId="179" xfId="7" applyFont="1" applyFill="1" applyBorder="1" applyAlignment="1" applyProtection="1">
      <alignment horizontal="center" vertical="center" wrapText="1"/>
    </xf>
    <xf numFmtId="0" fontId="20" fillId="5" borderId="255" xfId="7" applyFont="1" applyFill="1" applyBorder="1" applyAlignment="1" applyProtection="1">
      <alignment horizontal="left" vertical="center" wrapText="1"/>
    </xf>
    <xf numFmtId="0" fontId="20" fillId="5" borderId="140" xfId="7" applyFont="1" applyFill="1" applyBorder="1" applyAlignment="1" applyProtection="1">
      <alignment horizontal="left" vertical="center" wrapText="1"/>
    </xf>
    <xf numFmtId="0" fontId="20" fillId="5" borderId="0" xfId="7" applyFont="1" applyFill="1" applyBorder="1" applyAlignment="1" applyProtection="1">
      <alignment horizontal="left" vertical="center" wrapText="1"/>
    </xf>
    <xf numFmtId="0" fontId="20" fillId="5" borderId="8" xfId="7" applyFont="1" applyFill="1" applyBorder="1" applyAlignment="1" applyProtection="1">
      <alignment horizontal="left" vertical="center" wrapText="1"/>
    </xf>
    <xf numFmtId="0" fontId="20" fillId="0" borderId="130" xfId="7" applyFont="1" applyFill="1" applyBorder="1" applyAlignment="1" applyProtection="1">
      <alignment horizontal="center" vertical="center"/>
    </xf>
    <xf numFmtId="0" fontId="20" fillId="0" borderId="132" xfId="7" applyFont="1" applyFill="1" applyBorder="1" applyAlignment="1" applyProtection="1">
      <alignment horizontal="center" vertical="center"/>
    </xf>
    <xf numFmtId="0" fontId="20" fillId="0" borderId="131" xfId="7" applyFont="1" applyFill="1" applyBorder="1" applyAlignment="1" applyProtection="1">
      <alignment horizontal="center" vertical="center"/>
    </xf>
    <xf numFmtId="0" fontId="20" fillId="0" borderId="116" xfId="7" applyFont="1" applyFill="1" applyBorder="1" applyAlignment="1" applyProtection="1">
      <alignment horizontal="left" vertical="center" wrapText="1"/>
      <protection locked="0"/>
    </xf>
    <xf numFmtId="0" fontId="20" fillId="0" borderId="117" xfId="7" applyFont="1" applyFill="1" applyBorder="1" applyAlignment="1" applyProtection="1">
      <alignment horizontal="left" vertical="center" wrapText="1"/>
      <protection locked="0"/>
    </xf>
    <xf numFmtId="0" fontId="20" fillId="0" borderId="118" xfId="7" applyFont="1" applyFill="1" applyBorder="1" applyAlignment="1" applyProtection="1">
      <alignment horizontal="left" vertical="center" wrapText="1"/>
      <protection locked="0"/>
    </xf>
    <xf numFmtId="0" fontId="20" fillId="5" borderId="70" xfId="7" applyFont="1" applyFill="1" applyBorder="1" applyAlignment="1" applyProtection="1">
      <alignment horizontal="left" vertical="center" wrapText="1"/>
    </xf>
    <xf numFmtId="0" fontId="20" fillId="5" borderId="198" xfId="7" applyFont="1" applyFill="1" applyBorder="1" applyAlignment="1" applyProtection="1">
      <alignment horizontal="center" vertical="center" wrapText="1"/>
    </xf>
    <xf numFmtId="0" fontId="20" fillId="5" borderId="54" xfId="7" applyFont="1" applyFill="1" applyBorder="1" applyAlignment="1" applyProtection="1">
      <alignment horizontal="center" vertical="center" wrapText="1"/>
    </xf>
    <xf numFmtId="0" fontId="20" fillId="0" borderId="97" xfId="7" applyFont="1" applyFill="1" applyBorder="1" applyAlignment="1" applyProtection="1">
      <alignment horizontal="center" vertical="center" wrapText="1"/>
      <protection locked="0"/>
    </xf>
    <xf numFmtId="0" fontId="20" fillId="5" borderId="260" xfId="7" applyFont="1" applyFill="1" applyBorder="1" applyAlignment="1" applyProtection="1">
      <alignment horizontal="center" vertical="center" wrapText="1"/>
    </xf>
    <xf numFmtId="0" fontId="20" fillId="0" borderId="91" xfId="7" applyFont="1" applyBorder="1" applyAlignment="1" applyProtection="1">
      <alignment horizontal="center" vertical="center"/>
      <protection locked="0"/>
    </xf>
    <xf numFmtId="0" fontId="20" fillId="0" borderId="92" xfId="7" applyFont="1" applyBorder="1" applyAlignment="1" applyProtection="1">
      <alignment horizontal="center" vertical="center"/>
      <protection locked="0"/>
    </xf>
    <xf numFmtId="0" fontId="20" fillId="5" borderId="203" xfId="7" applyFont="1" applyFill="1" applyBorder="1" applyAlignment="1" applyProtection="1">
      <alignment horizontal="center" vertical="center"/>
    </xf>
    <xf numFmtId="0" fontId="20" fillId="5" borderId="2" xfId="7" applyFont="1" applyFill="1" applyBorder="1" applyAlignment="1" applyProtection="1">
      <alignment horizontal="center" vertical="center"/>
    </xf>
    <xf numFmtId="0" fontId="20" fillId="5" borderId="56" xfId="7" applyFont="1" applyFill="1" applyBorder="1" applyAlignment="1" applyProtection="1">
      <alignment horizontal="center" vertical="center"/>
    </xf>
    <xf numFmtId="0" fontId="20" fillId="0" borderId="24" xfId="7" applyFont="1" applyFill="1" applyBorder="1" applyAlignment="1" applyProtection="1">
      <alignment horizontal="center" vertical="center" wrapText="1"/>
      <protection locked="0"/>
    </xf>
    <xf numFmtId="0" fontId="20" fillId="0" borderId="82" xfId="7" applyFont="1" applyBorder="1" applyAlignment="1" applyProtection="1">
      <alignment horizontal="center" vertical="center"/>
      <protection locked="0"/>
    </xf>
    <xf numFmtId="0" fontId="20" fillId="0" borderId="92" xfId="7" applyFont="1" applyFill="1" applyBorder="1" applyAlignment="1" applyProtection="1">
      <alignment horizontal="center" vertical="center" wrapText="1"/>
      <protection locked="0"/>
    </xf>
    <xf numFmtId="0" fontId="20" fillId="0" borderId="91" xfId="7" applyFont="1" applyBorder="1" applyAlignment="1" applyProtection="1">
      <alignment horizontal="left" vertical="center" wrapText="1"/>
      <protection locked="0"/>
    </xf>
    <xf numFmtId="0" fontId="20" fillId="0" borderId="5" xfId="7" applyFont="1" applyBorder="1" applyAlignment="1" applyProtection="1">
      <alignment horizontal="left" vertical="center" wrapText="1"/>
      <protection locked="0"/>
    </xf>
    <xf numFmtId="0" fontId="20" fillId="0" borderId="6" xfId="7" applyFont="1" applyBorder="1" applyAlignment="1" applyProtection="1">
      <alignment horizontal="left" vertical="center" wrapText="1"/>
      <protection locked="0"/>
    </xf>
    <xf numFmtId="0" fontId="20" fillId="0" borderId="119" xfId="7" applyFont="1" applyFill="1" applyBorder="1" applyAlignment="1" applyProtection="1">
      <alignment horizontal="center" vertical="center" wrapText="1"/>
      <protection locked="0"/>
    </xf>
    <xf numFmtId="0" fontId="20" fillId="0" borderId="0" xfId="7" applyFont="1" applyFill="1" applyBorder="1" applyAlignment="1" applyProtection="1">
      <alignment horizontal="center" vertical="center" wrapText="1"/>
      <protection locked="0"/>
    </xf>
    <xf numFmtId="0" fontId="20" fillId="0" borderId="8" xfId="7" applyFont="1" applyFill="1" applyBorder="1" applyAlignment="1" applyProtection="1">
      <alignment horizontal="center" vertical="center" wrapText="1"/>
      <protection locked="0"/>
    </xf>
    <xf numFmtId="0" fontId="20" fillId="0" borderId="116" xfId="7" applyFont="1" applyBorder="1" applyAlignment="1" applyProtection="1">
      <alignment horizontal="left" vertical="center" wrapText="1"/>
      <protection locked="0"/>
    </xf>
    <xf numFmtId="0" fontId="20" fillId="0" borderId="117" xfId="7" applyFont="1" applyBorder="1" applyAlignment="1" applyProtection="1">
      <alignment horizontal="left" vertical="center" wrapText="1"/>
      <protection locked="0"/>
    </xf>
    <xf numFmtId="0" fontId="20" fillId="0" borderId="118" xfId="7" applyFont="1" applyBorder="1" applyAlignment="1" applyProtection="1">
      <alignment horizontal="left" vertical="center" wrapText="1"/>
      <protection locked="0"/>
    </xf>
    <xf numFmtId="0" fontId="20" fillId="5" borderId="141" xfId="7" applyFont="1" applyFill="1" applyBorder="1" applyAlignment="1" applyProtection="1">
      <alignment horizontal="left" vertical="center" wrapText="1" indent="1"/>
    </xf>
    <xf numFmtId="0" fontId="20" fillId="5" borderId="184" xfId="7" applyFont="1" applyFill="1" applyBorder="1" applyAlignment="1" applyProtection="1">
      <alignment horizontal="left" vertical="center" wrapText="1" indent="1"/>
    </xf>
    <xf numFmtId="0" fontId="20" fillId="5" borderId="170" xfId="7" applyFont="1" applyFill="1" applyBorder="1" applyAlignment="1" applyProtection="1">
      <alignment horizontal="center" vertical="center"/>
    </xf>
    <xf numFmtId="0" fontId="20" fillId="5" borderId="267" xfId="7" applyFont="1" applyFill="1" applyBorder="1" applyAlignment="1" applyProtection="1">
      <alignment horizontal="center" vertical="center"/>
    </xf>
    <xf numFmtId="0" fontId="20" fillId="5" borderId="170" xfId="7" applyFont="1" applyFill="1" applyBorder="1" applyAlignment="1" applyProtection="1">
      <alignment horizontal="left" vertical="center" wrapText="1"/>
    </xf>
    <xf numFmtId="0" fontId="20" fillId="5" borderId="193" xfId="7" applyFont="1" applyFill="1" applyBorder="1" applyAlignment="1" applyProtection="1">
      <alignment horizontal="left" vertical="center" wrapText="1"/>
    </xf>
    <xf numFmtId="0" fontId="20" fillId="5" borderId="182" xfId="7" applyFont="1" applyFill="1" applyBorder="1" applyAlignment="1" applyProtection="1">
      <alignment horizontal="left" vertical="center" wrapText="1"/>
    </xf>
    <xf numFmtId="0" fontId="20" fillId="5" borderId="174" xfId="7" applyFont="1" applyFill="1" applyBorder="1" applyAlignment="1" applyProtection="1">
      <alignment horizontal="left" vertical="center" wrapText="1" indent="1"/>
    </xf>
    <xf numFmtId="0" fontId="20" fillId="0" borderId="275" xfId="7" applyFont="1" applyFill="1" applyBorder="1" applyAlignment="1" applyProtection="1">
      <alignment horizontal="left" vertical="center" wrapText="1"/>
      <protection locked="0"/>
    </xf>
    <xf numFmtId="0" fontId="20" fillId="0" borderId="276" xfId="7" applyFont="1" applyFill="1" applyBorder="1" applyAlignment="1" applyProtection="1">
      <alignment horizontal="left" vertical="center" wrapText="1"/>
      <protection locked="0"/>
    </xf>
    <xf numFmtId="0" fontId="20" fillId="0" borderId="277" xfId="7" applyFont="1" applyFill="1" applyBorder="1" applyAlignment="1" applyProtection="1">
      <alignment horizontal="left" vertical="center" wrapText="1"/>
      <protection locked="0"/>
    </xf>
    <xf numFmtId="0" fontId="20" fillId="5" borderId="167" xfId="7" applyFont="1" applyFill="1" applyBorder="1" applyAlignment="1" applyProtection="1">
      <alignment horizontal="left" vertical="center" wrapText="1" indent="1"/>
    </xf>
    <xf numFmtId="0" fontId="20" fillId="5" borderId="141" xfId="7" applyFont="1" applyFill="1" applyBorder="1" applyAlignment="1" applyProtection="1">
      <alignment horizontal="left" vertical="center" wrapText="1"/>
    </xf>
    <xf numFmtId="0" fontId="20" fillId="5" borderId="171" xfId="7" applyFont="1" applyFill="1" applyBorder="1" applyAlignment="1" applyProtection="1">
      <alignment horizontal="left" vertical="center" wrapText="1"/>
    </xf>
    <xf numFmtId="0" fontId="20" fillId="0" borderId="272" xfId="7" applyFont="1" applyFill="1" applyBorder="1" applyAlignment="1" applyProtection="1">
      <alignment horizontal="left" vertical="center" wrapText="1"/>
      <protection locked="0"/>
    </xf>
    <xf numFmtId="0" fontId="20" fillId="0" borderId="273" xfId="7" applyFont="1" applyFill="1" applyBorder="1" applyAlignment="1" applyProtection="1">
      <alignment horizontal="left" vertical="center" wrapText="1"/>
      <protection locked="0"/>
    </xf>
    <xf numFmtId="0" fontId="20" fillId="0" borderId="274" xfId="7" applyFont="1" applyFill="1" applyBorder="1" applyAlignment="1" applyProtection="1">
      <alignment horizontal="left" vertical="center" wrapText="1"/>
      <protection locked="0"/>
    </xf>
    <xf numFmtId="0" fontId="20" fillId="0" borderId="199" xfId="7" applyFont="1" applyFill="1" applyBorder="1" applyAlignment="1" applyProtection="1">
      <alignment horizontal="left" vertical="center" wrapText="1"/>
      <protection locked="0"/>
    </xf>
    <xf numFmtId="0" fontId="20" fillId="0" borderId="170" xfId="7" applyFont="1" applyFill="1" applyBorder="1" applyAlignment="1" applyProtection="1">
      <alignment horizontal="left" vertical="center" wrapText="1"/>
      <protection locked="0"/>
    </xf>
    <xf numFmtId="0" fontId="20" fillId="0" borderId="171" xfId="7" applyFont="1" applyFill="1" applyBorder="1" applyAlignment="1" applyProtection="1">
      <alignment horizontal="left" vertical="center" wrapText="1"/>
      <protection locked="0"/>
    </xf>
    <xf numFmtId="0" fontId="4" fillId="5" borderId="136" xfId="6" applyFont="1" applyFill="1" applyBorder="1" applyAlignment="1" applyProtection="1">
      <alignment horizontal="center"/>
    </xf>
    <xf numFmtId="0" fontId="4" fillId="5" borderId="84" xfId="6" applyFont="1" applyFill="1" applyBorder="1" applyAlignment="1" applyProtection="1">
      <alignment horizontal="center"/>
    </xf>
    <xf numFmtId="0" fontId="27" fillId="5" borderId="2" xfId="6" applyFont="1" applyFill="1" applyBorder="1" applyAlignment="1" applyProtection="1">
      <alignment horizontal="center" vertical="center"/>
    </xf>
    <xf numFmtId="0" fontId="27" fillId="5" borderId="56" xfId="6" applyFont="1" applyFill="1" applyBorder="1" applyAlignment="1" applyProtection="1">
      <alignment horizontal="center" vertical="center"/>
    </xf>
    <xf numFmtId="0" fontId="1" fillId="5" borderId="278" xfId="6" applyFill="1" applyBorder="1" applyAlignment="1" applyProtection="1">
      <alignment horizontal="left" vertical="center"/>
    </xf>
    <xf numFmtId="0" fontId="1" fillId="5" borderId="279" xfId="6" applyFill="1" applyBorder="1" applyAlignment="1" applyProtection="1">
      <alignment horizontal="left" vertical="center"/>
    </xf>
    <xf numFmtId="0" fontId="1" fillId="5" borderId="280" xfId="6" applyFill="1" applyBorder="1" applyAlignment="1" applyProtection="1">
      <alignment horizontal="left" vertical="center"/>
    </xf>
    <xf numFmtId="0" fontId="1" fillId="5" borderId="281" xfId="6" applyFill="1" applyBorder="1" applyAlignment="1" applyProtection="1">
      <alignment horizontal="left" vertical="center" wrapText="1"/>
    </xf>
    <xf numFmtId="0" fontId="1" fillId="5" borderId="207" xfId="6" applyFill="1" applyBorder="1" applyAlignment="1" applyProtection="1">
      <alignment horizontal="left" vertical="center" wrapText="1"/>
    </xf>
    <xf numFmtId="0" fontId="1" fillId="5" borderId="177" xfId="6" applyFill="1" applyBorder="1" applyAlignment="1" applyProtection="1">
      <alignment horizontal="left" vertical="center" wrapText="1"/>
    </xf>
    <xf numFmtId="0" fontId="1" fillId="5" borderId="115" xfId="6" applyFill="1" applyBorder="1" applyAlignment="1" applyProtection="1">
      <alignment horizontal="center" vertical="center"/>
    </xf>
    <xf numFmtId="0" fontId="1" fillId="5" borderId="73" xfId="6" applyFill="1" applyBorder="1" applyAlignment="1" applyProtection="1">
      <alignment horizontal="center" vertical="center"/>
    </xf>
    <xf numFmtId="0" fontId="1" fillId="4" borderId="116" xfId="6" applyFill="1" applyBorder="1" applyAlignment="1" applyProtection="1">
      <alignment horizontal="center" vertical="center"/>
      <protection locked="0"/>
    </xf>
    <xf numFmtId="0" fontId="1" fillId="4" borderId="117" xfId="6" applyFill="1" applyBorder="1" applyAlignment="1" applyProtection="1">
      <alignment horizontal="center" vertical="center"/>
      <protection locked="0"/>
    </xf>
    <xf numFmtId="0" fontId="1" fillId="4" borderId="118" xfId="6" applyFill="1" applyBorder="1" applyAlignment="1" applyProtection="1">
      <alignment horizontal="center" vertical="center"/>
      <protection locked="0"/>
    </xf>
    <xf numFmtId="0" fontId="1" fillId="5" borderId="148" xfId="6" applyFill="1" applyBorder="1" applyAlignment="1" applyProtection="1">
      <alignment horizontal="right" vertical="center"/>
    </xf>
    <xf numFmtId="0" fontId="1" fillId="5" borderId="210" xfId="6" applyFill="1" applyBorder="1" applyAlignment="1" applyProtection="1">
      <alignment horizontal="right" vertical="center"/>
    </xf>
    <xf numFmtId="0" fontId="5" fillId="3" borderId="3" xfId="6" applyFont="1" applyFill="1" applyBorder="1" applyAlignment="1" applyProtection="1">
      <alignment horizontal="left"/>
    </xf>
    <xf numFmtId="0" fontId="5" fillId="3" borderId="0" xfId="6" applyFont="1" applyFill="1" applyBorder="1" applyAlignment="1" applyProtection="1">
      <alignment horizontal="left"/>
    </xf>
    <xf numFmtId="0" fontId="5" fillId="3" borderId="8" xfId="6" applyFont="1" applyFill="1" applyBorder="1" applyAlignment="1" applyProtection="1">
      <alignment horizontal="left"/>
    </xf>
    <xf numFmtId="0" fontId="1" fillId="5" borderId="238" xfId="6" applyFill="1" applyBorder="1" applyAlignment="1" applyProtection="1">
      <alignment horizontal="left" vertical="center" wrapText="1"/>
    </xf>
    <xf numFmtId="0" fontId="1" fillId="5" borderId="2" xfId="6" applyFill="1" applyBorder="1" applyAlignment="1" applyProtection="1">
      <alignment horizontal="left" vertical="center" wrapText="1"/>
    </xf>
    <xf numFmtId="0" fontId="1" fillId="5" borderId="56" xfId="6" applyFill="1" applyBorder="1" applyAlignment="1" applyProtection="1">
      <alignment horizontal="left" vertical="center" wrapText="1"/>
    </xf>
    <xf numFmtId="0" fontId="17" fillId="5" borderId="63" xfId="6" applyFont="1" applyFill="1" applyBorder="1" applyAlignment="1" applyProtection="1">
      <alignment horizontal="center" vertical="center" wrapText="1"/>
    </xf>
    <xf numFmtId="0" fontId="17" fillId="5" borderId="82" xfId="6" applyFont="1" applyFill="1" applyBorder="1" applyAlignment="1" applyProtection="1">
      <alignment horizontal="center" vertical="center" wrapText="1"/>
    </xf>
    <xf numFmtId="0" fontId="4" fillId="5" borderId="66" xfId="6" applyFont="1" applyFill="1" applyBorder="1" applyAlignment="1" applyProtection="1">
      <alignment horizontal="center" vertical="center"/>
    </xf>
    <xf numFmtId="0" fontId="1" fillId="5" borderId="63" xfId="6" applyFill="1" applyBorder="1" applyAlignment="1" applyProtection="1">
      <alignment horizontal="center" vertical="center" wrapText="1"/>
    </xf>
    <xf numFmtId="0" fontId="1" fillId="5" borderId="82" xfId="6" applyFill="1" applyBorder="1" applyAlignment="1" applyProtection="1">
      <alignment horizontal="center" vertical="center" wrapText="1"/>
    </xf>
    <xf numFmtId="0" fontId="1" fillId="5" borderId="150" xfId="6" applyFill="1" applyBorder="1" applyAlignment="1" applyProtection="1">
      <alignment horizontal="right" vertical="center"/>
    </xf>
    <xf numFmtId="0" fontId="1" fillId="5" borderId="224" xfId="6" applyFill="1" applyBorder="1" applyAlignment="1" applyProtection="1">
      <alignment horizontal="right" vertical="center"/>
    </xf>
    <xf numFmtId="0" fontId="1" fillId="4" borderId="63" xfId="6" applyFill="1" applyBorder="1" applyAlignment="1" applyProtection="1">
      <alignment horizontal="center" vertical="center" wrapText="1"/>
      <protection locked="0"/>
    </xf>
    <xf numFmtId="0" fontId="1" fillId="4" borderId="24" xfId="6" applyFill="1" applyBorder="1" applyAlignment="1" applyProtection="1">
      <alignment horizontal="center" vertical="center" wrapText="1"/>
      <protection locked="0"/>
    </xf>
    <xf numFmtId="0" fontId="1" fillId="4" borderId="82" xfId="6" applyFill="1" applyBorder="1" applyAlignment="1" applyProtection="1">
      <alignment horizontal="center" vertical="center" wrapText="1"/>
      <protection locked="0"/>
    </xf>
    <xf numFmtId="0" fontId="1" fillId="4" borderId="86" xfId="6" applyFill="1" applyBorder="1" applyAlignment="1" applyProtection="1">
      <alignment horizontal="center" vertical="center" wrapText="1"/>
      <protection locked="0"/>
    </xf>
    <xf numFmtId="0" fontId="1" fillId="4" borderId="44" xfId="6" applyFill="1" applyBorder="1" applyAlignment="1" applyProtection="1">
      <alignment horizontal="center" vertical="center" wrapText="1"/>
      <protection locked="0"/>
    </xf>
    <xf numFmtId="0" fontId="1" fillId="4" borderId="83" xfId="6" applyFill="1" applyBorder="1" applyAlignment="1" applyProtection="1">
      <alignment horizontal="center" vertical="center" wrapText="1"/>
      <protection locked="0"/>
    </xf>
    <xf numFmtId="0" fontId="1" fillId="5" borderId="21" xfId="6" applyFill="1" applyBorder="1" applyAlignment="1" applyProtection="1">
      <alignment horizontal="left"/>
    </xf>
    <xf numFmtId="0" fontId="1" fillId="5" borderId="74" xfId="6" applyFill="1" applyBorder="1" applyAlignment="1" applyProtection="1">
      <alignment horizontal="left"/>
    </xf>
    <xf numFmtId="0" fontId="1" fillId="5" borderId="16" xfId="6" applyFill="1" applyBorder="1" applyAlignment="1" applyProtection="1">
      <alignment horizontal="left"/>
    </xf>
    <xf numFmtId="0" fontId="1" fillId="5" borderId="37" xfId="6" applyFill="1" applyBorder="1" applyAlignment="1" applyProtection="1">
      <alignment horizontal="left"/>
    </xf>
    <xf numFmtId="0" fontId="1" fillId="5" borderId="17" xfId="6" applyFill="1" applyBorder="1" applyAlignment="1" applyProtection="1">
      <alignment horizontal="left"/>
    </xf>
    <xf numFmtId="0" fontId="1" fillId="5" borderId="38" xfId="6" applyFill="1" applyBorder="1" applyAlignment="1" applyProtection="1">
      <alignment horizontal="center" vertical="center"/>
    </xf>
    <xf numFmtId="0" fontId="1" fillId="5" borderId="108" xfId="6" applyFill="1" applyBorder="1" applyAlignment="1" applyProtection="1">
      <alignment horizontal="center" vertical="center"/>
    </xf>
    <xf numFmtId="0" fontId="1" fillId="5" borderId="11" xfId="6" applyFill="1" applyBorder="1" applyAlignment="1" applyProtection="1">
      <alignment horizontal="center" vertical="center"/>
    </xf>
    <xf numFmtId="0" fontId="1" fillId="5" borderId="16" xfId="6" applyFill="1" applyBorder="1" applyAlignment="1" applyProtection="1">
      <alignment horizontal="center" vertical="center"/>
    </xf>
    <xf numFmtId="0" fontId="1" fillId="5" borderId="40" xfId="6" applyFill="1" applyBorder="1" applyAlignment="1" applyProtection="1">
      <alignment horizontal="center"/>
    </xf>
    <xf numFmtId="0" fontId="1" fillId="5" borderId="45" xfId="6" applyFill="1" applyBorder="1" applyAlignment="1" applyProtection="1">
      <alignment horizontal="center"/>
    </xf>
    <xf numFmtId="0" fontId="1" fillId="5" borderId="41" xfId="6" applyFill="1" applyBorder="1" applyAlignment="1" applyProtection="1">
      <alignment horizontal="center"/>
    </xf>
    <xf numFmtId="0" fontId="1" fillId="5" borderId="48" xfId="6" applyFill="1" applyBorder="1" applyAlignment="1" applyProtection="1">
      <alignment horizontal="center"/>
    </xf>
    <xf numFmtId="0" fontId="1" fillId="5" borderId="57" xfId="6" applyFill="1" applyBorder="1" applyAlignment="1" applyProtection="1">
      <alignment horizontal="center"/>
    </xf>
    <xf numFmtId="0" fontId="1" fillId="0" borderId="116" xfId="6" applyBorder="1" applyAlignment="1" applyProtection="1">
      <alignment horizontal="center" vertical="center" wrapText="1"/>
      <protection locked="0"/>
    </xf>
    <xf numFmtId="0" fontId="1" fillId="0" borderId="117" xfId="6" applyBorder="1" applyAlignment="1" applyProtection="1">
      <alignment horizontal="center" vertical="center" wrapText="1"/>
      <protection locked="0"/>
    </xf>
    <xf numFmtId="0" fontId="1" fillId="0" borderId="118" xfId="6" applyBorder="1" applyAlignment="1" applyProtection="1">
      <alignment horizontal="center" vertical="center" wrapText="1"/>
      <protection locked="0"/>
    </xf>
    <xf numFmtId="0" fontId="1" fillId="5" borderId="282" xfId="6" applyFill="1" applyBorder="1" applyAlignment="1" applyProtection="1">
      <alignment horizontal="center" vertical="center"/>
    </xf>
    <xf numFmtId="0" fontId="1" fillId="5" borderId="283" xfId="6" applyFill="1" applyBorder="1" applyAlignment="1" applyProtection="1">
      <alignment horizontal="center" vertical="center"/>
    </xf>
    <xf numFmtId="0" fontId="1" fillId="5" borderId="129" xfId="6" applyFill="1" applyBorder="1" applyAlignment="1" applyProtection="1">
      <alignment horizontal="left"/>
    </xf>
    <xf numFmtId="0" fontId="1" fillId="5" borderId="134" xfId="6" applyFill="1" applyBorder="1" applyAlignment="1" applyProtection="1">
      <alignment horizontal="left"/>
    </xf>
    <xf numFmtId="0" fontId="1" fillId="0" borderId="91" xfId="6" applyBorder="1" applyAlignment="1" applyProtection="1">
      <alignment horizontal="center" vertical="center" wrapText="1"/>
      <protection locked="0"/>
    </xf>
    <xf numFmtId="0" fontId="1" fillId="0" borderId="5" xfId="6" applyBorder="1" applyAlignment="1" applyProtection="1">
      <alignment horizontal="center" vertical="center" wrapText="1"/>
      <protection locked="0"/>
    </xf>
    <xf numFmtId="0" fontId="1" fillId="0" borderId="6" xfId="6" applyBorder="1" applyAlignment="1" applyProtection="1">
      <alignment horizontal="center" vertical="center" wrapText="1"/>
      <protection locked="0"/>
    </xf>
    <xf numFmtId="0" fontId="27" fillId="5" borderId="65" xfId="6" applyFont="1" applyFill="1" applyBorder="1" applyAlignment="1" applyProtection="1">
      <alignment horizontal="center"/>
    </xf>
    <xf numFmtId="0" fontId="27" fillId="5" borderId="73" xfId="6" applyFont="1" applyFill="1" applyBorder="1" applyAlignment="1" applyProtection="1">
      <alignment horizontal="center"/>
    </xf>
    <xf numFmtId="0" fontId="27" fillId="5" borderId="58" xfId="6" applyFont="1" applyFill="1" applyBorder="1" applyAlignment="1" applyProtection="1">
      <alignment horizontal="center"/>
    </xf>
    <xf numFmtId="0" fontId="1" fillId="5" borderId="13" xfId="6" applyFill="1" applyBorder="1" applyAlignment="1" applyProtection="1">
      <alignment horizontal="left" vertical="center" wrapText="1"/>
    </xf>
    <xf numFmtId="0" fontId="1" fillId="5" borderId="7" xfId="6" applyFill="1" applyBorder="1" applyAlignment="1" applyProtection="1">
      <alignment horizontal="left" vertical="center" wrapText="1"/>
    </xf>
    <xf numFmtId="0" fontId="1" fillId="5" borderId="14" xfId="6" applyFill="1" applyBorder="1" applyAlignment="1" applyProtection="1">
      <alignment horizontal="left" vertical="center" wrapText="1"/>
    </xf>
    <xf numFmtId="0" fontId="1" fillId="5" borderId="22" xfId="6" applyFill="1" applyBorder="1" applyAlignment="1" applyProtection="1">
      <alignment horizontal="left" vertical="center" wrapText="1"/>
    </xf>
    <xf numFmtId="0" fontId="1" fillId="5" borderId="23" xfId="6" applyFill="1" applyBorder="1" applyAlignment="1" applyProtection="1">
      <alignment horizontal="left" vertical="center" wrapText="1"/>
    </xf>
    <xf numFmtId="0" fontId="1" fillId="5" borderId="60" xfId="6" applyFill="1" applyBorder="1" applyAlignment="1" applyProtection="1">
      <alignment horizontal="left" vertical="center" wrapText="1"/>
    </xf>
    <xf numFmtId="0" fontId="1" fillId="5" borderId="39" xfId="6" applyFill="1" applyBorder="1" applyAlignment="1" applyProtection="1">
      <alignment horizontal="center" vertical="center"/>
    </xf>
    <xf numFmtId="0" fontId="27" fillId="5" borderId="108" xfId="6" applyFont="1" applyFill="1" applyBorder="1" applyAlignment="1" applyProtection="1">
      <alignment horizontal="center"/>
    </xf>
    <xf numFmtId="0" fontId="27" fillId="5" borderId="109" xfId="6" applyFont="1" applyFill="1" applyBorder="1" applyAlignment="1" applyProtection="1">
      <alignment horizontal="center"/>
    </xf>
    <xf numFmtId="0" fontId="1" fillId="5" borderId="45" xfId="6" applyFill="1" applyBorder="1" applyAlignment="1" applyProtection="1">
      <alignment horizontal="left"/>
    </xf>
    <xf numFmtId="0" fontId="1" fillId="5" borderId="30" xfId="6" applyFill="1" applyBorder="1" applyAlignment="1" applyProtection="1">
      <alignment horizontal="left"/>
    </xf>
    <xf numFmtId="0" fontId="1" fillId="5" borderId="34" xfId="6" applyFill="1" applyBorder="1" applyAlignment="1" applyProtection="1">
      <alignment horizontal="left"/>
    </xf>
    <xf numFmtId="0" fontId="1" fillId="5" borderId="37" xfId="6" applyFill="1" applyBorder="1" applyAlignment="1" applyProtection="1">
      <alignment horizontal="left" vertical="center"/>
    </xf>
    <xf numFmtId="0" fontId="1" fillId="5" borderId="17" xfId="6" applyFill="1" applyBorder="1" applyAlignment="1" applyProtection="1">
      <alignment horizontal="left" vertical="center"/>
    </xf>
    <xf numFmtId="0" fontId="1" fillId="5" borderId="40" xfId="6" applyFill="1" applyBorder="1" applyAlignment="1" applyProtection="1">
      <alignment horizontal="center" vertical="center"/>
    </xf>
    <xf numFmtId="0" fontId="1" fillId="5" borderId="45" xfId="6" applyFill="1" applyBorder="1" applyAlignment="1" applyProtection="1">
      <alignment horizontal="center" vertical="center"/>
    </xf>
    <xf numFmtId="0" fontId="1" fillId="5" borderId="30" xfId="6" applyFill="1" applyBorder="1" applyAlignment="1" applyProtection="1">
      <alignment horizontal="center" vertical="center"/>
    </xf>
    <xf numFmtId="0" fontId="1" fillId="0" borderId="126" xfId="6" applyBorder="1" applyAlignment="1" applyProtection="1">
      <alignment horizontal="left" vertical="center" wrapText="1"/>
      <protection locked="0"/>
    </xf>
    <xf numFmtId="0" fontId="1" fillId="0" borderId="100" xfId="6" applyBorder="1" applyAlignment="1" applyProtection="1">
      <alignment horizontal="left" vertical="center" wrapText="1"/>
      <protection locked="0"/>
    </xf>
    <xf numFmtId="0" fontId="1" fillId="0" borderId="101" xfId="6" applyBorder="1" applyAlignment="1" applyProtection="1">
      <alignment horizontal="left" vertical="center" wrapText="1"/>
      <protection locked="0"/>
    </xf>
    <xf numFmtId="0" fontId="1" fillId="5" borderId="112" xfId="6" applyFont="1" applyFill="1" applyBorder="1" applyAlignment="1" applyProtection="1">
      <alignment horizontal="center" vertical="center"/>
    </xf>
    <xf numFmtId="0" fontId="1" fillId="5" borderId="7" xfId="6" applyFont="1" applyFill="1" applyBorder="1" applyAlignment="1" applyProtection="1">
      <alignment horizontal="center" vertical="center"/>
    </xf>
    <xf numFmtId="0" fontId="1" fillId="5" borderId="14" xfId="6" applyFont="1" applyFill="1" applyBorder="1" applyAlignment="1" applyProtection="1">
      <alignment horizontal="center" vertical="center"/>
    </xf>
    <xf numFmtId="0" fontId="1" fillId="5" borderId="111" xfId="6" applyFill="1" applyBorder="1" applyAlignment="1" applyProtection="1">
      <alignment horizontal="center" vertical="center"/>
    </xf>
    <xf numFmtId="0" fontId="1" fillId="5" borderId="27" xfId="6" applyFill="1" applyBorder="1" applyAlignment="1" applyProtection="1">
      <alignment horizontal="center" vertical="center"/>
    </xf>
    <xf numFmtId="0" fontId="1" fillId="5" borderId="42" xfId="6" applyFill="1" applyBorder="1" applyAlignment="1" applyProtection="1">
      <alignment horizontal="center" vertical="center"/>
    </xf>
    <xf numFmtId="0" fontId="1" fillId="5" borderId="46" xfId="6" applyFill="1" applyBorder="1" applyAlignment="1" applyProtection="1">
      <alignment horizontal="left" vertical="center"/>
    </xf>
    <xf numFmtId="0" fontId="1" fillId="5" borderId="75" xfId="6" applyFill="1" applyBorder="1" applyAlignment="1" applyProtection="1">
      <alignment horizontal="left" vertical="center"/>
    </xf>
    <xf numFmtId="0" fontId="1" fillId="5" borderId="232" xfId="6" applyFont="1" applyFill="1" applyBorder="1" applyAlignment="1" applyProtection="1">
      <alignment horizontal="left" vertical="center"/>
    </xf>
    <xf numFmtId="0" fontId="1" fillId="5" borderId="7" xfId="6" applyFont="1" applyFill="1" applyBorder="1" applyAlignment="1" applyProtection="1">
      <alignment horizontal="left" vertical="center"/>
    </xf>
    <xf numFmtId="0" fontId="1" fillId="5" borderId="113" xfId="6" applyFont="1" applyFill="1" applyBorder="1" applyAlignment="1" applyProtection="1">
      <alignment horizontal="left" vertical="center"/>
    </xf>
    <xf numFmtId="0" fontId="1" fillId="5" borderId="16" xfId="6" applyFill="1" applyBorder="1" applyAlignment="1" applyProtection="1">
      <alignment horizontal="left" vertical="center"/>
    </xf>
    <xf numFmtId="0" fontId="1" fillId="5" borderId="21" xfId="6" applyFill="1" applyBorder="1" applyAlignment="1" applyProtection="1">
      <alignment horizontal="left" vertical="center"/>
    </xf>
    <xf numFmtId="0" fontId="1" fillId="5" borderId="25" xfId="6" applyFill="1" applyBorder="1" applyAlignment="1" applyProtection="1">
      <alignment horizontal="right" vertical="center"/>
    </xf>
    <xf numFmtId="0" fontId="1" fillId="5" borderId="26" xfId="6" applyFill="1" applyBorder="1" applyAlignment="1" applyProtection="1">
      <alignment horizontal="right" vertical="center"/>
    </xf>
    <xf numFmtId="0" fontId="1" fillId="5" borderId="128" xfId="6" applyFill="1" applyBorder="1" applyAlignment="1" applyProtection="1">
      <alignment horizontal="right" vertical="center"/>
    </xf>
    <xf numFmtId="0" fontId="1" fillId="0" borderId="78" xfId="6" applyBorder="1" applyAlignment="1" applyProtection="1">
      <alignment horizontal="center" vertical="center" wrapText="1"/>
      <protection locked="0"/>
    </xf>
    <xf numFmtId="0" fontId="27" fillId="0" borderId="0" xfId="6" applyFont="1" applyBorder="1" applyAlignment="1" applyProtection="1">
      <alignment horizontal="center" vertical="center" wrapText="1"/>
    </xf>
    <xf numFmtId="0" fontId="27" fillId="5" borderId="137" xfId="6" applyFont="1" applyFill="1" applyBorder="1" applyAlignment="1" applyProtection="1">
      <alignment horizontal="center"/>
    </xf>
    <xf numFmtId="0" fontId="27" fillId="5" borderId="138" xfId="6" applyFont="1" applyFill="1" applyBorder="1" applyAlignment="1" applyProtection="1">
      <alignment horizontal="center"/>
    </xf>
    <xf numFmtId="0" fontId="1" fillId="5" borderId="45" xfId="6" applyFill="1" applyBorder="1" applyAlignment="1" applyProtection="1">
      <alignment horizontal="left" vertical="center"/>
    </xf>
    <xf numFmtId="0" fontId="1" fillId="5" borderId="30" xfId="6" applyFill="1" applyBorder="1" applyAlignment="1" applyProtection="1">
      <alignment horizontal="left" vertical="center"/>
    </xf>
    <xf numFmtId="0" fontId="4" fillId="5" borderId="63" xfId="6" applyFont="1" applyFill="1" applyBorder="1" applyAlignment="1" applyProtection="1">
      <alignment horizontal="center" vertical="center" wrapText="1"/>
    </xf>
    <xf numFmtId="0" fontId="4" fillId="5" borderId="82" xfId="6" applyFont="1" applyFill="1" applyBorder="1" applyAlignment="1" applyProtection="1">
      <alignment horizontal="center" vertical="center" wrapText="1"/>
    </xf>
    <xf numFmtId="0" fontId="1" fillId="5" borderId="66" xfId="6" applyFill="1" applyBorder="1" applyAlignment="1" applyProtection="1">
      <alignment horizontal="center" vertical="center"/>
    </xf>
    <xf numFmtId="0" fontId="20" fillId="0" borderId="285" xfId="7" applyFont="1" applyFill="1" applyBorder="1" applyAlignment="1" applyProtection="1">
      <alignment horizontal="left" vertical="center" wrapText="1"/>
      <protection locked="0"/>
    </xf>
    <xf numFmtId="0" fontId="20" fillId="0" borderId="286" xfId="7" applyFont="1" applyFill="1" applyBorder="1" applyAlignment="1" applyProtection="1">
      <alignment horizontal="left" vertical="center" wrapText="1"/>
      <protection locked="0"/>
    </xf>
    <xf numFmtId="0" fontId="20" fillId="0" borderId="287" xfId="7" applyFont="1" applyFill="1" applyBorder="1" applyAlignment="1" applyProtection="1">
      <alignment horizontal="left" vertical="center" wrapText="1"/>
      <protection locked="0"/>
    </xf>
    <xf numFmtId="0" fontId="20" fillId="0" borderId="285" xfId="7" applyFont="1" applyFill="1" applyBorder="1" applyAlignment="1" applyProtection="1">
      <alignment horizontal="center" vertical="center"/>
      <protection locked="0"/>
    </xf>
    <xf numFmtId="0" fontId="20" fillId="0" borderId="288" xfId="7" applyFont="1" applyFill="1" applyBorder="1" applyAlignment="1" applyProtection="1">
      <alignment horizontal="center" vertical="center"/>
      <protection locked="0"/>
    </xf>
    <xf numFmtId="0" fontId="20" fillId="0" borderId="275" xfId="7" applyFont="1" applyFill="1" applyBorder="1" applyAlignment="1" applyProtection="1">
      <alignment horizontal="center" vertical="center"/>
      <protection locked="0"/>
    </xf>
    <xf numFmtId="0" fontId="20" fillId="0" borderId="289" xfId="7" applyFont="1" applyFill="1" applyBorder="1" applyAlignment="1" applyProtection="1">
      <alignment horizontal="center" vertical="center"/>
      <protection locked="0"/>
    </xf>
    <xf numFmtId="0" fontId="20" fillId="0" borderId="290" xfId="7" applyFont="1" applyFill="1" applyBorder="1" applyAlignment="1" applyProtection="1">
      <alignment horizontal="left" vertical="center" wrapText="1"/>
      <protection locked="0"/>
    </xf>
    <xf numFmtId="0" fontId="20" fillId="0" borderId="63" xfId="7" applyFont="1" applyFill="1" applyBorder="1" applyAlignment="1" applyProtection="1">
      <alignment horizontal="left" vertical="center"/>
      <protection locked="0"/>
    </xf>
    <xf numFmtId="0" fontId="20" fillId="0" borderId="24" xfId="7" applyFont="1" applyFill="1" applyBorder="1" applyAlignment="1" applyProtection="1">
      <alignment horizontal="left" vertical="center"/>
      <protection locked="0"/>
    </xf>
    <xf numFmtId="0" fontId="20" fillId="0" borderId="97" xfId="7" applyFont="1" applyFill="1" applyBorder="1" applyAlignment="1" applyProtection="1">
      <alignment horizontal="left" vertical="center"/>
      <protection locked="0"/>
    </xf>
    <xf numFmtId="0" fontId="20" fillId="0" borderId="91" xfId="7" applyFont="1" applyFill="1" applyBorder="1" applyAlignment="1" applyProtection="1">
      <alignment horizontal="left" vertical="center"/>
      <protection locked="0"/>
    </xf>
    <xf numFmtId="0" fontId="20" fillId="0" borderId="5" xfId="7" applyFont="1" applyFill="1" applyBorder="1" applyAlignment="1" applyProtection="1">
      <alignment horizontal="left" vertical="center"/>
      <protection locked="0"/>
    </xf>
    <xf numFmtId="0" fontId="20" fillId="0" borderId="6" xfId="7" applyFont="1" applyFill="1" applyBorder="1" applyAlignment="1" applyProtection="1">
      <alignment horizontal="left" vertical="center"/>
      <protection locked="0"/>
    </xf>
    <xf numFmtId="0" fontId="20" fillId="5" borderId="284" xfId="7" applyFont="1" applyFill="1" applyBorder="1" applyAlignment="1" applyProtection="1">
      <alignment horizontal="left" vertical="center"/>
    </xf>
    <xf numFmtId="0" fontId="1" fillId="5" borderId="231" xfId="6" applyFont="1" applyFill="1" applyBorder="1" applyAlignment="1" applyProtection="1">
      <alignment horizontal="center" vertical="center"/>
    </xf>
    <xf numFmtId="0" fontId="1" fillId="5" borderId="162" xfId="6" applyFont="1" applyFill="1" applyBorder="1" applyAlignment="1" applyProtection="1">
      <alignment horizontal="center" vertical="center"/>
    </xf>
    <xf numFmtId="49" fontId="1" fillId="5" borderId="142" xfId="6" applyNumberFormat="1" applyFont="1" applyFill="1" applyBorder="1" applyAlignment="1" applyProtection="1">
      <alignment horizontal="center" vertical="center" wrapText="1"/>
    </xf>
    <xf numFmtId="49" fontId="1" fillId="5" borderId="150" xfId="6" applyNumberFormat="1" applyFont="1" applyFill="1" applyBorder="1" applyAlignment="1" applyProtection="1">
      <alignment horizontal="center" vertical="center" wrapText="1"/>
    </xf>
    <xf numFmtId="49" fontId="1" fillId="4" borderId="86" xfId="6" applyNumberFormat="1" applyFont="1" applyFill="1" applyBorder="1" applyAlignment="1" applyProtection="1">
      <alignment horizontal="center" vertical="center" wrapText="1"/>
      <protection locked="0"/>
    </xf>
    <xf numFmtId="49" fontId="1" fillId="4" borderId="44" xfId="6" applyNumberFormat="1" applyFont="1" applyFill="1" applyBorder="1" applyAlignment="1" applyProtection="1">
      <alignment horizontal="center" vertical="center" wrapText="1"/>
      <protection locked="0"/>
    </xf>
    <xf numFmtId="49" fontId="1" fillId="4" borderId="114" xfId="6" applyNumberFormat="1" applyFont="1" applyFill="1" applyBorder="1" applyAlignment="1" applyProtection="1">
      <alignment horizontal="center" vertical="center" wrapText="1"/>
      <protection locked="0"/>
    </xf>
    <xf numFmtId="0" fontId="20" fillId="5" borderId="224" xfId="7" applyFont="1" applyFill="1" applyBorder="1" applyAlignment="1" applyProtection="1">
      <alignment horizontal="center" vertical="center"/>
    </xf>
    <xf numFmtId="0" fontId="20" fillId="0" borderId="66" xfId="7" applyFont="1" applyFill="1" applyBorder="1" applyAlignment="1" applyProtection="1">
      <alignment horizontal="center" vertical="center" wrapText="1"/>
      <protection locked="0"/>
    </xf>
    <xf numFmtId="0" fontId="1" fillId="0" borderId="125" xfId="6" applyNumberFormat="1" applyFont="1" applyBorder="1" applyAlignment="1" applyProtection="1">
      <alignment horizontal="center" vertical="center" wrapText="1"/>
      <protection locked="0"/>
    </xf>
    <xf numFmtId="0" fontId="1" fillId="0" borderId="56" xfId="6" applyNumberFormat="1" applyFont="1" applyBorder="1" applyAlignment="1" applyProtection="1">
      <alignment horizontal="center" vertical="center" wrapText="1"/>
      <protection locked="0"/>
    </xf>
    <xf numFmtId="49" fontId="1" fillId="5" borderId="203" xfId="6" applyNumberFormat="1" applyFont="1" applyFill="1" applyBorder="1" applyAlignment="1" applyProtection="1">
      <alignment horizontal="left" vertical="center" wrapText="1"/>
    </xf>
    <xf numFmtId="49" fontId="1" fillId="5" borderId="2" xfId="6" applyNumberFormat="1" applyFont="1" applyFill="1" applyBorder="1" applyAlignment="1" applyProtection="1">
      <alignment horizontal="left" vertical="center" wrapText="1"/>
    </xf>
    <xf numFmtId="49" fontId="1" fillId="5" borderId="127" xfId="6" applyNumberFormat="1" applyFont="1" applyFill="1" applyBorder="1" applyAlignment="1" applyProtection="1">
      <alignment horizontal="left" vertical="center" wrapText="1"/>
    </xf>
    <xf numFmtId="0" fontId="20" fillId="7" borderId="0" xfId="7" applyFont="1" applyFill="1" applyBorder="1" applyAlignment="1" applyProtection="1">
      <alignment horizontal="center" vertical="center" wrapText="1"/>
    </xf>
    <xf numFmtId="0" fontId="20" fillId="7" borderId="8" xfId="7" applyFont="1" applyFill="1" applyBorder="1" applyAlignment="1" applyProtection="1">
      <alignment horizontal="center" vertical="center" wrapText="1"/>
    </xf>
    <xf numFmtId="0" fontId="20" fillId="5" borderId="209" xfId="7" applyFont="1" applyFill="1" applyBorder="1" applyAlignment="1" applyProtection="1">
      <alignment horizontal="left" vertical="center" wrapText="1"/>
    </xf>
    <xf numFmtId="0" fontId="20" fillId="5" borderId="220" xfId="7" applyFont="1" applyFill="1" applyBorder="1" applyAlignment="1" applyProtection="1">
      <alignment horizontal="left" vertical="center" wrapText="1"/>
    </xf>
    <xf numFmtId="0" fontId="20" fillId="5" borderId="250" xfId="7" applyFont="1" applyFill="1" applyBorder="1" applyAlignment="1" applyProtection="1">
      <alignment horizontal="left" vertical="center" wrapText="1"/>
    </xf>
    <xf numFmtId="0" fontId="20" fillId="0" borderId="80" xfId="7" applyFont="1" applyFill="1" applyBorder="1" applyAlignment="1" applyProtection="1">
      <alignment horizontal="center" vertical="center" wrapText="1"/>
      <protection locked="0"/>
    </xf>
    <xf numFmtId="0" fontId="20" fillId="7" borderId="206" xfId="7" applyFont="1" applyFill="1" applyBorder="1" applyAlignment="1" applyProtection="1">
      <alignment horizontal="center" vertical="center" wrapText="1"/>
    </xf>
    <xf numFmtId="0" fontId="1" fillId="0" borderId="9" xfId="6" applyFont="1" applyBorder="1" applyAlignment="1" applyProtection="1">
      <alignment horizontal="left" vertical="center" wrapText="1"/>
      <protection locked="0"/>
    </xf>
    <xf numFmtId="0" fontId="1" fillId="0" borderId="10" xfId="6" applyFont="1" applyBorder="1" applyAlignment="1" applyProtection="1">
      <alignment horizontal="left" vertical="center" wrapText="1"/>
      <protection locked="0"/>
    </xf>
    <xf numFmtId="0" fontId="20" fillId="7" borderId="192" xfId="7" applyFont="1" applyFill="1" applyBorder="1" applyAlignment="1" applyProtection="1">
      <alignment horizontal="center" vertical="center" wrapText="1"/>
    </xf>
    <xf numFmtId="0" fontId="20" fillId="7" borderId="223" xfId="7" applyFont="1" applyFill="1" applyBorder="1" applyAlignment="1" applyProtection="1">
      <alignment horizontal="center" vertical="center" wrapText="1"/>
    </xf>
    <xf numFmtId="0" fontId="4" fillId="0" borderId="3" xfId="6" applyFont="1" applyBorder="1" applyAlignment="1" applyProtection="1">
      <alignment horizontal="center" vertical="center"/>
    </xf>
    <xf numFmtId="0" fontId="4" fillId="0" borderId="0" xfId="6" applyFont="1" applyBorder="1" applyAlignment="1" applyProtection="1">
      <alignment horizontal="center" vertical="center"/>
    </xf>
    <xf numFmtId="0" fontId="4" fillId="0" borderId="8" xfId="6" applyFont="1" applyBorder="1" applyAlignment="1" applyProtection="1">
      <alignment horizontal="center" vertical="center"/>
    </xf>
    <xf numFmtId="0" fontId="1" fillId="5" borderId="61" xfId="6" applyNumberFormat="1" applyFont="1" applyFill="1" applyBorder="1" applyAlignment="1" applyProtection="1">
      <alignment horizontal="left" vertical="center"/>
    </xf>
    <xf numFmtId="0" fontId="1" fillId="5" borderId="13" xfId="6" applyFont="1" applyFill="1" applyBorder="1" applyAlignment="1" applyProtection="1">
      <alignment horizontal="center" vertical="center"/>
    </xf>
    <xf numFmtId="0" fontId="1" fillId="5" borderId="113" xfId="6" applyFont="1" applyFill="1" applyBorder="1" applyAlignment="1" applyProtection="1">
      <alignment horizontal="center" vertical="center"/>
    </xf>
    <xf numFmtId="0" fontId="1" fillId="5" borderId="21" xfId="6" applyFont="1" applyFill="1" applyBorder="1" applyAlignment="1" applyProtection="1">
      <alignment horizontal="left" vertical="center" wrapText="1"/>
    </xf>
    <xf numFmtId="0" fontId="1" fillId="5" borderId="74" xfId="6" applyFont="1" applyFill="1" applyBorder="1" applyAlignment="1" applyProtection="1">
      <alignment horizontal="left" vertical="center" wrapText="1"/>
    </xf>
    <xf numFmtId="0" fontId="1" fillId="0" borderId="116" xfId="6" applyNumberFormat="1" applyFont="1" applyBorder="1" applyAlignment="1" applyProtection="1">
      <alignment horizontal="center" vertical="center" wrapText="1"/>
      <protection locked="0"/>
    </xf>
    <xf numFmtId="0" fontId="1" fillId="0" borderId="118" xfId="6" applyNumberFormat="1" applyFont="1" applyBorder="1" applyAlignment="1" applyProtection="1">
      <alignment horizontal="center" vertical="center" wrapText="1"/>
      <protection locked="0"/>
    </xf>
    <xf numFmtId="0" fontId="1" fillId="5" borderId="75" xfId="6" applyFont="1" applyFill="1" applyBorder="1" applyAlignment="1" applyProtection="1">
      <alignment horizontal="left" vertical="center" wrapText="1"/>
    </xf>
    <xf numFmtId="0" fontId="1" fillId="5" borderId="113" xfId="6" applyFont="1" applyFill="1" applyBorder="1" applyAlignment="1" applyProtection="1">
      <alignment horizontal="left" vertical="center" wrapText="1"/>
    </xf>
    <xf numFmtId="0" fontId="1" fillId="5" borderId="75" xfId="6" applyNumberFormat="1" applyFont="1" applyFill="1" applyBorder="1" applyAlignment="1" applyProtection="1">
      <alignment vertical="center"/>
    </xf>
    <xf numFmtId="0" fontId="1" fillId="5" borderId="7" xfId="6" applyNumberFormat="1" applyFont="1" applyFill="1" applyBorder="1" applyAlignment="1" applyProtection="1">
      <alignment vertical="center"/>
    </xf>
    <xf numFmtId="0" fontId="1" fillId="5" borderId="113" xfId="6" applyNumberFormat="1" applyFont="1" applyFill="1" applyBorder="1" applyAlignment="1" applyProtection="1">
      <alignment vertical="center"/>
    </xf>
    <xf numFmtId="0" fontId="1" fillId="5" borderId="65" xfId="6" applyFont="1" applyFill="1" applyBorder="1" applyAlignment="1" applyProtection="1">
      <alignment horizontal="left" vertical="center" wrapText="1"/>
    </xf>
    <xf numFmtId="0" fontId="1" fillId="5" borderId="121" xfId="6" applyFont="1" applyFill="1" applyBorder="1" applyAlignment="1" applyProtection="1">
      <alignment horizontal="left" vertical="center" wrapText="1"/>
    </xf>
    <xf numFmtId="0" fontId="1" fillId="5" borderId="39" xfId="6" applyFont="1" applyFill="1" applyBorder="1" applyAlignment="1" applyProtection="1">
      <alignment horizontal="center" vertical="center"/>
    </xf>
    <xf numFmtId="0" fontId="1" fillId="5" borderId="37" xfId="6" applyFont="1" applyFill="1" applyBorder="1" applyAlignment="1" applyProtection="1">
      <alignment horizontal="center" vertical="center"/>
    </xf>
    <xf numFmtId="0" fontId="1" fillId="5" borderId="17" xfId="6" applyFont="1" applyFill="1" applyBorder="1" applyAlignment="1" applyProtection="1">
      <alignment horizontal="center" vertical="center"/>
    </xf>
    <xf numFmtId="0" fontId="1" fillId="0" borderId="86" xfId="6" applyFont="1" applyBorder="1" applyAlignment="1" applyProtection="1">
      <alignment horizontal="center" vertical="center" wrapText="1"/>
      <protection locked="0"/>
    </xf>
    <xf numFmtId="0" fontId="1" fillId="0" borderId="44" xfId="6" applyFont="1" applyBorder="1" applyAlignment="1" applyProtection="1">
      <alignment horizontal="center" vertical="center" wrapText="1"/>
      <protection locked="0"/>
    </xf>
    <xf numFmtId="0" fontId="1" fillId="0" borderId="114" xfId="6" applyFont="1" applyBorder="1" applyAlignment="1" applyProtection="1">
      <alignment horizontal="center" vertical="center" wrapText="1"/>
      <protection locked="0"/>
    </xf>
    <xf numFmtId="0" fontId="1" fillId="5" borderId="38" xfId="6" applyFont="1" applyFill="1" applyBorder="1" applyAlignment="1" applyProtection="1">
      <alignment horizontal="center" vertical="center"/>
    </xf>
    <xf numFmtId="0" fontId="1" fillId="5" borderId="108" xfId="6" applyFont="1" applyFill="1" applyBorder="1" applyAlignment="1" applyProtection="1">
      <alignment horizontal="center" vertical="center"/>
    </xf>
    <xf numFmtId="0" fontId="1" fillId="5" borderId="11" xfId="6" applyFont="1" applyFill="1" applyBorder="1" applyAlignment="1" applyProtection="1">
      <alignment horizontal="center" vertical="center"/>
    </xf>
    <xf numFmtId="0" fontId="1" fillId="5" borderId="16" xfId="6" applyFont="1" applyFill="1" applyBorder="1" applyAlignment="1" applyProtection="1">
      <alignment horizontal="center" vertical="center"/>
    </xf>
    <xf numFmtId="0" fontId="27" fillId="5" borderId="65" xfId="6" applyFont="1" applyFill="1" applyBorder="1" applyAlignment="1" applyProtection="1">
      <alignment horizontal="center" vertical="center"/>
    </xf>
    <xf numFmtId="0" fontId="27" fillId="5" borderId="73" xfId="6" applyFont="1" applyFill="1" applyBorder="1" applyAlignment="1" applyProtection="1">
      <alignment horizontal="center" vertical="center"/>
    </xf>
    <xf numFmtId="0" fontId="27" fillId="5" borderId="58" xfId="6" applyFont="1" applyFill="1" applyBorder="1" applyAlignment="1" applyProtection="1">
      <alignment horizontal="center" vertical="center"/>
    </xf>
    <xf numFmtId="0" fontId="1" fillId="5" borderId="17" xfId="6" applyFont="1" applyFill="1" applyBorder="1" applyAlignment="1" applyProtection="1">
      <alignment horizontal="left" vertical="center"/>
    </xf>
    <xf numFmtId="0" fontId="1" fillId="5" borderId="23" xfId="6" applyFont="1" applyFill="1" applyBorder="1" applyAlignment="1" applyProtection="1">
      <alignment horizontal="left" vertical="center"/>
    </xf>
    <xf numFmtId="0" fontId="1" fillId="5" borderId="98" xfId="6" applyFont="1" applyFill="1" applyBorder="1" applyAlignment="1" applyProtection="1">
      <alignment horizontal="left" vertical="center"/>
    </xf>
    <xf numFmtId="0" fontId="4" fillId="5" borderId="91" xfId="6" applyFont="1" applyFill="1" applyBorder="1" applyAlignment="1" applyProtection="1">
      <alignment horizontal="center" vertical="center" wrapText="1"/>
    </xf>
    <xf numFmtId="0" fontId="4" fillId="5" borderId="92" xfId="6" applyFont="1" applyFill="1" applyBorder="1" applyAlignment="1" applyProtection="1">
      <alignment horizontal="center" vertical="center" wrapText="1"/>
    </xf>
    <xf numFmtId="0" fontId="4" fillId="5" borderId="126" xfId="6" applyFont="1" applyFill="1" applyBorder="1" applyAlignment="1" applyProtection="1">
      <alignment horizontal="center" vertical="center" wrapText="1"/>
    </xf>
    <xf numFmtId="0" fontId="4" fillId="5" borderId="123" xfId="6" applyFont="1" applyFill="1" applyBorder="1" applyAlignment="1" applyProtection="1">
      <alignment horizontal="center" vertical="center" wrapText="1"/>
    </xf>
    <xf numFmtId="0" fontId="2" fillId="0" borderId="1" xfId="3" applyBorder="1" applyAlignment="1" applyProtection="1">
      <alignment horizontal="left" vertical="center"/>
    </xf>
    <xf numFmtId="0" fontId="2" fillId="0" borderId="2" xfId="3" applyBorder="1" applyAlignment="1" applyProtection="1">
      <alignment horizontal="left" vertical="center"/>
    </xf>
    <xf numFmtId="0" fontId="5" fillId="3" borderId="25" xfId="6" applyFont="1" applyFill="1" applyBorder="1" applyAlignment="1" applyProtection="1">
      <alignment horizontal="left" vertical="center"/>
    </xf>
    <xf numFmtId="0" fontId="5" fillId="3" borderId="26" xfId="6" applyFont="1" applyFill="1" applyBorder="1" applyAlignment="1" applyProtection="1">
      <alignment horizontal="left" vertical="center"/>
    </xf>
    <xf numFmtId="0" fontId="5" fillId="3" borderId="124" xfId="6" applyFont="1" applyFill="1" applyBorder="1" applyAlignment="1" applyProtection="1">
      <alignment horizontal="left" vertical="center"/>
    </xf>
    <xf numFmtId="0" fontId="1" fillId="5" borderId="22" xfId="6" applyFont="1" applyFill="1" applyBorder="1" applyAlignment="1" applyProtection="1">
      <alignment horizontal="left" vertical="center" wrapText="1"/>
    </xf>
    <xf numFmtId="0" fontId="1" fillId="5" borderId="23" xfId="6" applyFont="1" applyFill="1" applyBorder="1" applyAlignment="1" applyProtection="1">
      <alignment horizontal="left" vertical="center" wrapText="1"/>
    </xf>
    <xf numFmtId="0" fontId="1" fillId="5" borderId="60" xfId="6" applyFont="1" applyFill="1" applyBorder="1" applyAlignment="1" applyProtection="1">
      <alignment horizontal="left" vertical="center" wrapText="1"/>
    </xf>
    <xf numFmtId="0" fontId="1" fillId="5" borderId="65" xfId="6" applyFont="1" applyFill="1" applyBorder="1" applyAlignment="1" applyProtection="1">
      <alignment horizontal="center" vertical="center"/>
    </xf>
    <xf numFmtId="0" fontId="1" fillId="0" borderId="116" xfId="6" applyFont="1" applyBorder="1" applyAlignment="1" applyProtection="1">
      <alignment horizontal="center" vertical="center" wrapText="1"/>
      <protection locked="0"/>
    </xf>
    <xf numFmtId="0" fontId="1" fillId="0" borderId="117" xfId="6" applyFont="1" applyBorder="1" applyAlignment="1" applyProtection="1">
      <alignment horizontal="center" vertical="center" wrapText="1"/>
      <protection locked="0"/>
    </xf>
    <xf numFmtId="0" fontId="1" fillId="0" borderId="118" xfId="6" applyFont="1" applyBorder="1" applyAlignment="1" applyProtection="1">
      <alignment horizontal="center" vertical="center" wrapText="1"/>
      <protection locked="0"/>
    </xf>
    <xf numFmtId="0" fontId="2" fillId="0" borderId="2" xfId="3" applyBorder="1" applyAlignment="1" applyProtection="1">
      <alignment horizontal="center" vertical="center"/>
    </xf>
    <xf numFmtId="0" fontId="20" fillId="7" borderId="175" xfId="7" applyFont="1" applyFill="1" applyBorder="1" applyAlignment="1" applyProtection="1">
      <alignment horizontal="center" vertical="center" wrapText="1"/>
    </xf>
    <xf numFmtId="0" fontId="20" fillId="7" borderId="148" xfId="7" applyFont="1" applyFill="1" applyBorder="1" applyAlignment="1" applyProtection="1">
      <alignment horizontal="center" vertical="center" wrapText="1"/>
    </xf>
    <xf numFmtId="0" fontId="20" fillId="7" borderId="243" xfId="7" applyFont="1" applyFill="1" applyBorder="1" applyAlignment="1" applyProtection="1">
      <alignment horizontal="center" vertical="center" wrapText="1"/>
    </xf>
    <xf numFmtId="0" fontId="20" fillId="4" borderId="116" xfId="7" applyFont="1" applyFill="1" applyBorder="1" applyAlignment="1" applyProtection="1">
      <alignment horizontal="center" vertical="center" wrapText="1"/>
      <protection locked="0"/>
    </xf>
    <xf numFmtId="0" fontId="20" fillId="4" borderId="117" xfId="7" applyFont="1" applyFill="1" applyBorder="1" applyAlignment="1" applyProtection="1">
      <alignment horizontal="center" vertical="center" wrapText="1"/>
      <protection locked="0"/>
    </xf>
    <xf numFmtId="0" fontId="20" fillId="4" borderId="118" xfId="7" applyFont="1" applyFill="1" applyBorder="1" applyAlignment="1" applyProtection="1">
      <alignment horizontal="center" vertical="center" wrapText="1"/>
      <protection locked="0"/>
    </xf>
    <xf numFmtId="0" fontId="20" fillId="0" borderId="54" xfId="7" applyFont="1" applyFill="1" applyBorder="1" applyAlignment="1" applyProtection="1">
      <alignment horizontal="center" vertical="center" wrapText="1"/>
      <protection locked="0"/>
    </xf>
    <xf numFmtId="0" fontId="20" fillId="5" borderId="184" xfId="7" applyFont="1" applyFill="1" applyBorder="1" applyAlignment="1" applyProtection="1">
      <alignment horizontal="left" vertical="center" wrapText="1"/>
    </xf>
    <xf numFmtId="0" fontId="20" fillId="5" borderId="167" xfId="7" applyFont="1" applyFill="1" applyBorder="1" applyAlignment="1" applyProtection="1">
      <alignment horizontal="left" vertical="center" wrapText="1"/>
    </xf>
    <xf numFmtId="0" fontId="1" fillId="0" borderId="63" xfId="6" applyFont="1" applyBorder="1" applyAlignment="1" applyProtection="1">
      <alignment horizontal="left" vertical="center" wrapText="1"/>
      <protection locked="0"/>
    </xf>
    <xf numFmtId="0" fontId="1" fillId="0" borderId="24" xfId="6" applyFont="1" applyBorder="1" applyAlignment="1" applyProtection="1">
      <alignment horizontal="left" vertical="center" wrapText="1"/>
      <protection locked="0"/>
    </xf>
    <xf numFmtId="0" fontId="1" fillId="0" borderId="97" xfId="6" applyFont="1" applyBorder="1" applyAlignment="1" applyProtection="1">
      <alignment horizontal="left" vertical="center" wrapText="1"/>
      <protection locked="0"/>
    </xf>
    <xf numFmtId="0" fontId="1" fillId="0" borderId="63" xfId="6" applyFont="1" applyBorder="1" applyAlignment="1" applyProtection="1">
      <alignment horizontal="center" vertical="center" wrapText="1"/>
      <protection locked="0"/>
    </xf>
    <xf numFmtId="0" fontId="1" fillId="0" borderId="82" xfId="6" applyFont="1" applyBorder="1" applyAlignment="1" applyProtection="1">
      <alignment horizontal="center" vertical="center" wrapText="1"/>
      <protection locked="0"/>
    </xf>
    <xf numFmtId="0" fontId="1" fillId="5" borderId="148" xfId="6" applyFont="1" applyFill="1" applyBorder="1" applyAlignment="1" applyProtection="1">
      <alignment horizontal="left" vertical="center" wrapText="1"/>
    </xf>
    <xf numFmtId="0" fontId="1" fillId="5" borderId="210" xfId="6" applyFont="1" applyFill="1" applyBorder="1" applyAlignment="1" applyProtection="1">
      <alignment horizontal="left" vertical="center" wrapText="1"/>
    </xf>
    <xf numFmtId="0" fontId="1" fillId="5" borderId="150" xfId="6" applyFont="1" applyFill="1" applyBorder="1" applyAlignment="1" applyProtection="1">
      <alignment horizontal="left" vertical="center" wrapText="1"/>
    </xf>
    <xf numFmtId="0" fontId="1" fillId="5" borderId="175" xfId="6" applyFont="1" applyFill="1" applyBorder="1" applyAlignment="1" applyProtection="1">
      <alignment horizontal="left" vertical="center" wrapText="1"/>
    </xf>
    <xf numFmtId="0" fontId="1" fillId="5" borderId="163" xfId="6" applyFont="1" applyFill="1" applyBorder="1" applyAlignment="1" applyProtection="1">
      <alignment horizontal="center" vertical="center" wrapText="1"/>
    </xf>
    <xf numFmtId="0" fontId="1" fillId="5" borderId="179" xfId="6" applyFont="1" applyFill="1" applyBorder="1" applyAlignment="1" applyProtection="1">
      <alignment horizontal="center" vertical="center" wrapText="1"/>
    </xf>
    <xf numFmtId="0" fontId="20" fillId="7" borderId="49" xfId="7" applyFont="1" applyFill="1" applyBorder="1" applyAlignment="1" applyProtection="1">
      <alignment horizontal="center" vertical="center"/>
    </xf>
    <xf numFmtId="0" fontId="20" fillId="7" borderId="139" xfId="7" applyFont="1" applyFill="1" applyBorder="1" applyAlignment="1" applyProtection="1">
      <alignment horizontal="center" vertical="center"/>
    </xf>
    <xf numFmtId="0" fontId="20" fillId="7" borderId="46" xfId="7" applyFont="1" applyFill="1" applyBorder="1" applyAlignment="1" applyProtection="1">
      <alignment horizontal="center" vertical="center"/>
    </xf>
    <xf numFmtId="0" fontId="20" fillId="7" borderId="75" xfId="7" applyFont="1" applyFill="1" applyBorder="1" applyAlignment="1" applyProtection="1">
      <alignment horizontal="center" vertical="center"/>
    </xf>
    <xf numFmtId="0" fontId="20" fillId="0" borderId="112" xfId="7" applyFont="1" applyBorder="1" applyAlignment="1" applyProtection="1">
      <alignment horizontal="left" vertical="center" wrapText="1"/>
      <protection locked="0"/>
    </xf>
    <xf numFmtId="0" fontId="20" fillId="0" borderId="7" xfId="7" applyFont="1" applyBorder="1" applyAlignment="1" applyProtection="1">
      <alignment horizontal="left" vertical="center" wrapText="1"/>
      <protection locked="0"/>
    </xf>
    <xf numFmtId="0" fontId="20" fillId="0" borderId="14" xfId="7" applyFont="1" applyBorder="1" applyAlignment="1" applyProtection="1">
      <alignment horizontal="left" vertical="center" wrapText="1"/>
      <protection locked="0"/>
    </xf>
    <xf numFmtId="0" fontId="20" fillId="7" borderId="101" xfId="7" applyFont="1" applyFill="1" applyBorder="1" applyAlignment="1" applyProtection="1">
      <alignment horizontal="center" vertical="center" wrapText="1"/>
    </xf>
    <xf numFmtId="0" fontId="20" fillId="7" borderId="2" xfId="7" applyFont="1" applyFill="1" applyBorder="1" applyAlignment="1" applyProtection="1">
      <alignment horizontal="center" vertical="center" wrapText="1"/>
    </xf>
    <xf numFmtId="0" fontId="20" fillId="7" borderId="127" xfId="7" applyFont="1" applyFill="1" applyBorder="1" applyAlignment="1" applyProtection="1">
      <alignment horizontal="center" vertical="center" wrapText="1"/>
    </xf>
    <xf numFmtId="0" fontId="20" fillId="7" borderId="149" xfId="7" applyFont="1" applyFill="1" applyBorder="1" applyAlignment="1" applyProtection="1">
      <alignment horizontal="center" vertical="center"/>
    </xf>
    <xf numFmtId="0" fontId="20" fillId="7" borderId="150" xfId="7" applyFont="1" applyFill="1" applyBorder="1" applyAlignment="1" applyProtection="1">
      <alignment horizontal="center" vertical="center"/>
    </xf>
    <xf numFmtId="0" fontId="20" fillId="7" borderId="224" xfId="7" applyFont="1" applyFill="1" applyBorder="1" applyAlignment="1" applyProtection="1">
      <alignment horizontal="center" vertical="center"/>
    </xf>
    <xf numFmtId="0" fontId="4" fillId="0" borderId="3" xfId="7" applyFont="1" applyBorder="1" applyAlignment="1" applyProtection="1">
      <alignment horizontal="center" vertical="center"/>
    </xf>
    <xf numFmtId="0" fontId="4" fillId="0" borderId="0" xfId="7" applyFont="1" applyBorder="1" applyAlignment="1" applyProtection="1">
      <alignment horizontal="center" vertical="center"/>
    </xf>
    <xf numFmtId="0" fontId="4" fillId="0" borderId="8" xfId="7" applyFont="1" applyBorder="1" applyAlignment="1" applyProtection="1">
      <alignment horizontal="center" vertical="center"/>
    </xf>
    <xf numFmtId="0" fontId="1" fillId="5" borderId="192" xfId="6" applyFont="1" applyFill="1" applyBorder="1" applyAlignment="1" applyProtection="1">
      <alignment horizontal="left" vertical="center" wrapText="1"/>
    </xf>
    <xf numFmtId="0" fontId="20" fillId="7" borderId="168" xfId="7" applyFont="1" applyFill="1" applyBorder="1" applyAlignment="1" applyProtection="1">
      <alignment horizontal="left"/>
    </xf>
    <xf numFmtId="0" fontId="20" fillId="7" borderId="192" xfId="7" applyFont="1" applyFill="1" applyBorder="1" applyAlignment="1" applyProtection="1">
      <alignment horizontal="left"/>
    </xf>
    <xf numFmtId="0" fontId="20" fillId="7" borderId="211" xfId="7" applyFont="1" applyFill="1" applyBorder="1" applyAlignment="1" applyProtection="1">
      <alignment horizontal="left"/>
    </xf>
    <xf numFmtId="0" fontId="27" fillId="0" borderId="0" xfId="0" applyFont="1" applyBorder="1" applyAlignment="1" applyProtection="1">
      <alignment horizontal="left" vertical="top" wrapText="1" indent="1"/>
    </xf>
    <xf numFmtId="0" fontId="27" fillId="0" borderId="0" xfId="0" applyFont="1" applyAlignment="1" applyProtection="1">
      <alignment horizontal="left" vertical="top" wrapText="1" indent="1"/>
    </xf>
    <xf numFmtId="0" fontId="20" fillId="7" borderId="111" xfId="7" applyFont="1" applyFill="1" applyBorder="1" applyAlignment="1" applyProtection="1">
      <alignment horizontal="center" vertical="center"/>
    </xf>
    <xf numFmtId="0" fontId="20" fillId="7" borderId="27" xfId="7" applyFont="1" applyFill="1" applyBorder="1" applyAlignment="1" applyProtection="1">
      <alignment horizontal="center" vertical="center"/>
    </xf>
    <xf numFmtId="49" fontId="31" fillId="5" borderId="75" xfId="7" applyNumberFormat="1" applyFont="1" applyFill="1" applyBorder="1" applyAlignment="1" applyProtection="1">
      <alignment horizontal="left" vertical="center"/>
    </xf>
    <xf numFmtId="49" fontId="31" fillId="5" borderId="7" xfId="7" applyNumberFormat="1" applyFont="1" applyFill="1" applyBorder="1" applyAlignment="1" applyProtection="1">
      <alignment horizontal="left" vertical="center"/>
    </xf>
    <xf numFmtId="0" fontId="1" fillId="7" borderId="47" xfId="7" applyFont="1" applyFill="1" applyBorder="1" applyAlignment="1" applyProtection="1">
      <alignment horizontal="left"/>
    </xf>
    <xf numFmtId="0" fontId="1" fillId="7" borderId="54" xfId="7" applyFont="1" applyFill="1" applyBorder="1" applyAlignment="1" applyProtection="1">
      <alignment horizontal="left"/>
    </xf>
    <xf numFmtId="0" fontId="1" fillId="7" borderId="64" xfId="7" applyFont="1" applyFill="1" applyBorder="1" applyAlignment="1" applyProtection="1">
      <alignment horizontal="left"/>
    </xf>
    <xf numFmtId="0" fontId="20" fillId="7" borderId="15" xfId="7" applyFont="1" applyFill="1" applyBorder="1" applyAlignment="1" applyProtection="1">
      <alignment horizontal="left"/>
    </xf>
    <xf numFmtId="0" fontId="20" fillId="7" borderId="0" xfId="7" applyFont="1" applyFill="1" applyBorder="1" applyAlignment="1" applyProtection="1">
      <alignment horizontal="left"/>
    </xf>
    <xf numFmtId="0" fontId="20" fillId="7" borderId="70" xfId="7" applyFont="1" applyFill="1" applyBorder="1" applyAlignment="1" applyProtection="1">
      <alignment horizontal="left"/>
    </xf>
    <xf numFmtId="0" fontId="4" fillId="7" borderId="31" xfId="7" applyFont="1" applyFill="1" applyBorder="1" applyAlignment="1" applyProtection="1">
      <alignment horizontal="center" vertical="center"/>
    </xf>
    <xf numFmtId="0" fontId="4" fillId="7" borderId="2" xfId="7" applyFont="1" applyFill="1" applyBorder="1" applyAlignment="1" applyProtection="1">
      <alignment horizontal="center" vertical="center"/>
    </xf>
    <xf numFmtId="0" fontId="4" fillId="7" borderId="32" xfId="7" applyFont="1" applyFill="1" applyBorder="1" applyAlignment="1" applyProtection="1">
      <alignment horizontal="center" vertical="center"/>
    </xf>
    <xf numFmtId="0" fontId="20" fillId="0" borderId="5" xfId="7" applyFont="1" applyFill="1" applyBorder="1" applyAlignment="1" applyProtection="1">
      <alignment horizontal="center" vertical="center" wrapText="1"/>
      <protection locked="0"/>
    </xf>
    <xf numFmtId="0" fontId="20" fillId="0" borderId="44" xfId="7" applyFont="1" applyFill="1" applyBorder="1" applyAlignment="1" applyProtection="1">
      <alignment horizontal="center" vertical="center" wrapText="1"/>
      <protection locked="0"/>
    </xf>
    <xf numFmtId="0" fontId="5" fillId="3" borderId="13" xfId="7" applyFont="1" applyFill="1" applyBorder="1" applyAlignment="1" applyProtection="1">
      <alignment horizontal="left" vertical="center"/>
    </xf>
    <xf numFmtId="0" fontId="5" fillId="3" borderId="7" xfId="7" applyFont="1" applyFill="1" applyBorder="1" applyAlignment="1" applyProtection="1">
      <alignment horizontal="left" vertical="center"/>
    </xf>
    <xf numFmtId="0" fontId="5" fillId="3" borderId="14" xfId="7" applyFont="1" applyFill="1" applyBorder="1" applyAlignment="1" applyProtection="1">
      <alignment horizontal="left" vertical="center"/>
    </xf>
    <xf numFmtId="0" fontId="20" fillId="7" borderId="13" xfId="7" applyFont="1" applyFill="1" applyBorder="1" applyAlignment="1" applyProtection="1">
      <alignment horizontal="left" vertical="center" wrapText="1"/>
    </xf>
    <xf numFmtId="0" fontId="20" fillId="7" borderId="7" xfId="7" applyFont="1" applyFill="1" applyBorder="1" applyAlignment="1" applyProtection="1">
      <alignment horizontal="left" vertical="center" wrapText="1"/>
    </xf>
    <xf numFmtId="0" fontId="20" fillId="7" borderId="14" xfId="7" applyFont="1" applyFill="1" applyBorder="1" applyAlignment="1" applyProtection="1">
      <alignment horizontal="left" vertical="center" wrapText="1"/>
    </xf>
    <xf numFmtId="0" fontId="1" fillId="5" borderId="231" xfId="6" applyFont="1" applyFill="1" applyBorder="1" applyAlignment="1" applyProtection="1">
      <alignment horizontal="center" vertical="center" wrapText="1"/>
    </xf>
    <xf numFmtId="0" fontId="1" fillId="5" borderId="176" xfId="6" applyFont="1" applyFill="1" applyBorder="1" applyAlignment="1" applyProtection="1">
      <alignment horizontal="center" vertical="center" wrapText="1"/>
    </xf>
    <xf numFmtId="0" fontId="1" fillId="5" borderId="162" xfId="6" applyFont="1" applyFill="1" applyBorder="1" applyAlignment="1" applyProtection="1">
      <alignment horizontal="center" vertical="center" wrapText="1"/>
    </xf>
    <xf numFmtId="0" fontId="1" fillId="5" borderId="207" xfId="6" applyFont="1" applyFill="1" applyBorder="1" applyAlignment="1" applyProtection="1">
      <alignment horizontal="left" vertical="center" wrapText="1"/>
    </xf>
    <xf numFmtId="0" fontId="1" fillId="5" borderId="241" xfId="6" applyFont="1" applyFill="1" applyBorder="1" applyAlignment="1" applyProtection="1">
      <alignment horizontal="left" vertical="center" wrapText="1"/>
    </xf>
    <xf numFmtId="0" fontId="1" fillId="5" borderId="0" xfId="6" applyFont="1" applyFill="1" applyBorder="1" applyAlignment="1" applyProtection="1">
      <alignment horizontal="center" vertical="center" wrapText="1"/>
    </xf>
    <xf numFmtId="0" fontId="1" fillId="5" borderId="199" xfId="6" applyFont="1" applyFill="1" applyBorder="1" applyAlignment="1" applyProtection="1">
      <alignment horizontal="center" vertical="center" wrapText="1"/>
    </xf>
    <xf numFmtId="0" fontId="1" fillId="5" borderId="181" xfId="6" applyFont="1" applyFill="1" applyBorder="1" applyAlignment="1" applyProtection="1">
      <alignment horizontal="center" vertical="center" wrapText="1"/>
    </xf>
    <xf numFmtId="0" fontId="1" fillId="5" borderId="100" xfId="6" applyFont="1" applyFill="1" applyBorder="1" applyAlignment="1" applyProtection="1">
      <alignment horizontal="center" vertical="center" wrapText="1"/>
    </xf>
    <xf numFmtId="0" fontId="1" fillId="5" borderId="101" xfId="6" applyFont="1" applyFill="1" applyBorder="1" applyAlignment="1" applyProtection="1">
      <alignment horizontal="center" vertical="center" wrapText="1"/>
    </xf>
    <xf numFmtId="0" fontId="20" fillId="5" borderId="194" xfId="0" applyFont="1" applyFill="1" applyBorder="1" applyAlignment="1" applyProtection="1">
      <alignment horizontal="left" vertical="center" wrapText="1"/>
    </xf>
    <xf numFmtId="0" fontId="20" fillId="5" borderId="207" xfId="0" applyFont="1" applyFill="1" applyBorder="1" applyAlignment="1" applyProtection="1">
      <alignment horizontal="left" vertical="center" wrapText="1"/>
    </xf>
    <xf numFmtId="0" fontId="20" fillId="5" borderId="241" xfId="0" applyFont="1" applyFill="1" applyBorder="1" applyAlignment="1" applyProtection="1">
      <alignment horizontal="left" vertical="center" wrapText="1"/>
    </xf>
    <xf numFmtId="0" fontId="20" fillId="5" borderId="140"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1" fontId="1" fillId="0" borderId="44" xfId="6" applyNumberFormat="1" applyFont="1" applyBorder="1" applyAlignment="1" applyProtection="1">
      <alignment horizontal="center" vertical="center" wrapText="1"/>
      <protection locked="0"/>
    </xf>
    <xf numFmtId="1" fontId="1" fillId="0" borderId="114" xfId="6" applyNumberFormat="1" applyFont="1" applyBorder="1" applyAlignment="1" applyProtection="1">
      <alignment horizontal="center" vertical="center" wrapText="1"/>
      <protection locked="0"/>
    </xf>
    <xf numFmtId="0" fontId="20" fillId="7" borderId="13" xfId="7" applyFont="1" applyFill="1" applyBorder="1" applyAlignment="1" applyProtection="1">
      <alignment horizontal="center" vertical="center"/>
    </xf>
    <xf numFmtId="0" fontId="20" fillId="7" borderId="7" xfId="7" applyFont="1" applyFill="1" applyBorder="1" applyAlignment="1" applyProtection="1">
      <alignment horizontal="center" vertical="center"/>
    </xf>
    <xf numFmtId="0" fontId="20" fillId="0" borderId="112" xfId="7" applyFont="1" applyFill="1" applyBorder="1" applyAlignment="1" applyProtection="1">
      <alignment horizontal="left" vertical="center"/>
      <protection locked="0"/>
    </xf>
    <xf numFmtId="0" fontId="20" fillId="0" borderId="7" xfId="7" applyFont="1" applyFill="1" applyBorder="1" applyAlignment="1" applyProtection="1">
      <alignment horizontal="left" vertical="center"/>
      <protection locked="0"/>
    </xf>
    <xf numFmtId="0" fontId="20" fillId="0" borderId="14" xfId="7" applyFont="1" applyFill="1" applyBorder="1" applyAlignment="1" applyProtection="1">
      <alignment horizontal="left" vertical="center"/>
      <protection locked="0"/>
    </xf>
    <xf numFmtId="1" fontId="1" fillId="0" borderId="24" xfId="6" applyNumberFormat="1" applyFont="1" applyBorder="1" applyAlignment="1" applyProtection="1">
      <alignment horizontal="center" vertical="center" wrapText="1"/>
      <protection locked="0"/>
    </xf>
    <xf numFmtId="1" fontId="1" fillId="0" borderId="97" xfId="6" applyNumberFormat="1" applyFont="1" applyBorder="1" applyAlignment="1" applyProtection="1">
      <alignment horizontal="center" vertical="center" wrapText="1"/>
      <protection locked="0"/>
    </xf>
    <xf numFmtId="1" fontId="1" fillId="0" borderId="117" xfId="6" applyNumberFormat="1" applyFont="1" applyBorder="1" applyAlignment="1" applyProtection="1">
      <alignment horizontal="center" vertical="center" wrapText="1"/>
      <protection locked="0"/>
    </xf>
    <xf numFmtId="1" fontId="1" fillId="0" borderId="118" xfId="6" applyNumberFormat="1" applyFont="1" applyBorder="1" applyAlignment="1" applyProtection="1">
      <alignment horizontal="center" vertical="center" wrapText="1"/>
      <protection locked="0"/>
    </xf>
    <xf numFmtId="1" fontId="1" fillId="0" borderId="63" xfId="6" applyNumberFormat="1" applyFont="1" applyBorder="1" applyAlignment="1" applyProtection="1">
      <alignment horizontal="center" vertical="center" wrapText="1"/>
      <protection locked="0"/>
    </xf>
    <xf numFmtId="1" fontId="1" fillId="0" borderId="82" xfId="6" applyNumberFormat="1" applyFont="1" applyBorder="1" applyAlignment="1" applyProtection="1">
      <alignment horizontal="center" vertical="center" wrapText="1"/>
      <protection locked="0"/>
    </xf>
    <xf numFmtId="1" fontId="1" fillId="0" borderId="86" xfId="6" applyNumberFormat="1" applyFont="1" applyBorder="1" applyAlignment="1" applyProtection="1">
      <alignment horizontal="center" vertical="center" wrapText="1"/>
      <protection locked="0"/>
    </xf>
    <xf numFmtId="1" fontId="1" fillId="0" borderId="83" xfId="6" applyNumberFormat="1" applyFont="1" applyBorder="1" applyAlignment="1" applyProtection="1">
      <alignment horizontal="center" vertical="center" wrapText="1"/>
      <protection locked="0"/>
    </xf>
    <xf numFmtId="1" fontId="1" fillId="0" borderId="116" xfId="6" applyNumberFormat="1" applyFont="1" applyBorder="1" applyAlignment="1" applyProtection="1">
      <alignment horizontal="center" vertical="center" wrapText="1"/>
      <protection locked="0"/>
    </xf>
    <xf numFmtId="1" fontId="1" fillId="0" borderId="69" xfId="6" applyNumberFormat="1" applyFont="1" applyBorder="1" applyAlignment="1" applyProtection="1">
      <alignment horizontal="center" vertical="center" wrapText="1"/>
      <protection locked="0"/>
    </xf>
    <xf numFmtId="9" fontId="1" fillId="0" borderId="54" xfId="10" applyFont="1" applyBorder="1" applyAlignment="1" applyProtection="1">
      <alignment horizontal="center" vertical="center" wrapText="1"/>
      <protection locked="0"/>
    </xf>
    <xf numFmtId="9" fontId="1" fillId="0" borderId="71" xfId="10" applyFont="1" applyBorder="1" applyAlignment="1" applyProtection="1">
      <alignment horizontal="center" vertical="center" wrapText="1"/>
      <protection locked="0"/>
    </xf>
    <xf numFmtId="0" fontId="4" fillId="0" borderId="1" xfId="7" applyFont="1" applyBorder="1" applyAlignment="1" applyProtection="1">
      <alignment horizontal="center" vertical="center"/>
    </xf>
    <xf numFmtId="0" fontId="4" fillId="0" borderId="2" xfId="7" applyFont="1" applyBorder="1" applyAlignment="1" applyProtection="1">
      <alignment horizontal="center" vertical="center"/>
    </xf>
    <xf numFmtId="0" fontId="4" fillId="0" borderId="56" xfId="7" applyFont="1" applyBorder="1" applyAlignment="1" applyProtection="1">
      <alignment horizontal="center" vertical="center"/>
    </xf>
    <xf numFmtId="0" fontId="1" fillId="5" borderId="142" xfId="6" applyFont="1" applyFill="1" applyBorder="1" applyAlignment="1" applyProtection="1">
      <alignment horizontal="center" vertical="center" wrapText="1"/>
    </xf>
    <xf numFmtId="0" fontId="1" fillId="5" borderId="212" xfId="6" applyFont="1" applyFill="1" applyBorder="1" applyAlignment="1" applyProtection="1">
      <alignment horizontal="center" vertical="center" wrapText="1"/>
    </xf>
    <xf numFmtId="0" fontId="1" fillId="5" borderId="150" xfId="6" applyFont="1" applyFill="1" applyBorder="1" applyAlignment="1" applyProtection="1">
      <alignment horizontal="center" vertical="center" wrapText="1"/>
    </xf>
    <xf numFmtId="0" fontId="1" fillId="5" borderId="187" xfId="6" applyFont="1" applyFill="1" applyBorder="1" applyAlignment="1" applyProtection="1">
      <alignment horizontal="center" vertical="center" wrapText="1"/>
    </xf>
    <xf numFmtId="0" fontId="1" fillId="5" borderId="2" xfId="6" applyFont="1" applyFill="1" applyBorder="1" applyAlignment="1" applyProtection="1">
      <alignment horizontal="center" vertical="center" wrapText="1"/>
    </xf>
    <xf numFmtId="0" fontId="1" fillId="5" borderId="54" xfId="6" applyFont="1" applyFill="1" applyBorder="1" applyAlignment="1" applyProtection="1">
      <alignment horizontal="center" vertical="center" wrapText="1"/>
    </xf>
    <xf numFmtId="9" fontId="1" fillId="0" borderId="86" xfId="10" applyFont="1" applyBorder="1" applyAlignment="1" applyProtection="1">
      <alignment horizontal="center" vertical="center" wrapText="1"/>
      <protection locked="0"/>
    </xf>
    <xf numFmtId="9" fontId="1" fillId="0" borderId="83" xfId="10" applyFont="1" applyBorder="1" applyAlignment="1" applyProtection="1">
      <alignment horizontal="center" vertical="center" wrapText="1"/>
      <protection locked="0"/>
    </xf>
    <xf numFmtId="9" fontId="1" fillId="0" borderId="68" xfId="10" applyFont="1" applyBorder="1" applyAlignment="1" applyProtection="1">
      <alignment horizontal="center" vertical="center" wrapText="1"/>
      <protection locked="0"/>
    </xf>
    <xf numFmtId="1" fontId="1" fillId="0" borderId="125" xfId="6" applyNumberFormat="1" applyFont="1" applyBorder="1" applyAlignment="1" applyProtection="1">
      <alignment horizontal="center" vertical="center" wrapText="1"/>
      <protection locked="0"/>
    </xf>
    <xf numFmtId="1" fontId="1" fillId="0" borderId="2" xfId="6" applyNumberFormat="1" applyFont="1" applyBorder="1" applyAlignment="1" applyProtection="1">
      <alignment horizontal="center" vertical="center" wrapText="1"/>
      <protection locked="0"/>
    </xf>
    <xf numFmtId="0" fontId="1" fillId="5" borderId="175" xfId="6" applyFont="1" applyFill="1" applyBorder="1" applyAlignment="1" applyProtection="1">
      <alignment horizontal="center" vertical="center" wrapText="1"/>
    </xf>
    <xf numFmtId="0" fontId="1" fillId="5" borderId="148" xfId="6" applyFont="1" applyFill="1" applyBorder="1" applyAlignment="1" applyProtection="1">
      <alignment horizontal="center" vertical="center" wrapText="1"/>
    </xf>
    <xf numFmtId="0" fontId="1" fillId="5" borderId="190" xfId="6" applyFont="1" applyFill="1" applyBorder="1" applyAlignment="1" applyProtection="1">
      <alignment horizontal="center" vertical="center" wrapText="1"/>
    </xf>
    <xf numFmtId="0" fontId="1" fillId="5" borderId="211" xfId="6" applyFont="1" applyFill="1" applyBorder="1" applyAlignment="1" applyProtection="1">
      <alignment horizontal="left" vertical="center" wrapText="1"/>
    </xf>
    <xf numFmtId="0" fontId="1" fillId="5" borderId="194" xfId="6" applyFont="1" applyFill="1" applyBorder="1" applyAlignment="1" applyProtection="1">
      <alignment horizontal="left" vertical="center" wrapText="1"/>
    </xf>
    <xf numFmtId="0" fontId="1" fillId="5" borderId="177" xfId="6" applyFont="1" applyFill="1" applyBorder="1" applyAlignment="1" applyProtection="1">
      <alignment horizontal="left" vertical="center" wrapText="1"/>
    </xf>
    <xf numFmtId="0" fontId="20" fillId="5" borderId="142" xfId="0" applyFont="1" applyFill="1" applyBorder="1" applyAlignment="1" applyProtection="1">
      <alignment horizontal="left" vertical="center"/>
    </xf>
    <xf numFmtId="0" fontId="20" fillId="5" borderId="150" xfId="0" applyFont="1" applyFill="1" applyBorder="1" applyAlignment="1" applyProtection="1">
      <alignment horizontal="left" vertical="center"/>
    </xf>
    <xf numFmtId="0" fontId="20" fillId="5" borderId="1"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20" fillId="5" borderId="55" xfId="0" applyFont="1" applyFill="1" applyBorder="1" applyAlignment="1" applyProtection="1">
      <alignment horizontal="center" vertical="center"/>
    </xf>
    <xf numFmtId="0" fontId="20" fillId="0" borderId="86"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0" fontId="20" fillId="0" borderId="114" xfId="0" applyFont="1" applyBorder="1" applyAlignment="1" applyProtection="1">
      <alignment horizontal="left" vertical="center" wrapText="1"/>
      <protection locked="0"/>
    </xf>
    <xf numFmtId="0" fontId="1" fillId="5" borderId="220" xfId="6" applyFont="1" applyFill="1" applyBorder="1" applyAlignment="1" applyProtection="1">
      <alignment horizontal="center" vertical="center" wrapText="1"/>
    </xf>
    <xf numFmtId="0" fontId="1" fillId="5" borderId="148" xfId="8" applyFont="1" applyFill="1" applyBorder="1" applyAlignment="1" applyProtection="1">
      <alignment horizontal="left" vertical="center"/>
    </xf>
    <xf numFmtId="0" fontId="1" fillId="5" borderId="231" xfId="7" applyFont="1" applyFill="1" applyBorder="1" applyAlignment="1" applyProtection="1">
      <alignment horizontal="center" vertical="center" wrapText="1"/>
    </xf>
    <xf numFmtId="0" fontId="1" fillId="5" borderId="162" xfId="7" applyFont="1" applyFill="1" applyBorder="1" applyAlignment="1" applyProtection="1">
      <alignment horizontal="center" vertical="center" wrapText="1"/>
    </xf>
    <xf numFmtId="0" fontId="1" fillId="5" borderId="2" xfId="7" applyFont="1" applyFill="1" applyBorder="1" applyAlignment="1" applyProtection="1">
      <alignment horizontal="left" vertical="center" wrapText="1"/>
    </xf>
    <xf numFmtId="0" fontId="1" fillId="5" borderId="127" xfId="7" applyFont="1" applyFill="1" applyBorder="1" applyAlignment="1" applyProtection="1">
      <alignment horizontal="left" vertical="center" wrapText="1"/>
    </xf>
    <xf numFmtId="0" fontId="1" fillId="5" borderId="142" xfId="7" applyFont="1" applyFill="1" applyBorder="1" applyAlignment="1" applyProtection="1">
      <alignment horizontal="center" vertical="center" wrapText="1"/>
    </xf>
    <xf numFmtId="0" fontId="1" fillId="5" borderId="224" xfId="7" applyFont="1" applyFill="1" applyBorder="1" applyAlignment="1" applyProtection="1">
      <alignment horizontal="center" vertical="center" wrapText="1"/>
    </xf>
    <xf numFmtId="0" fontId="1" fillId="5" borderId="170" xfId="8" applyFont="1" applyFill="1" applyBorder="1" applyAlignment="1" applyProtection="1">
      <alignment horizontal="center" vertical="center"/>
    </xf>
    <xf numFmtId="0" fontId="1" fillId="5" borderId="56" xfId="8" applyFont="1" applyFill="1" applyBorder="1" applyAlignment="1" applyProtection="1">
      <alignment horizontal="left" vertical="center" wrapText="1"/>
    </xf>
    <xf numFmtId="0" fontId="1" fillId="5" borderId="163" xfId="8" applyFont="1" applyFill="1" applyBorder="1" applyAlignment="1" applyProtection="1">
      <alignment horizontal="center" vertical="center"/>
    </xf>
    <xf numFmtId="0" fontId="1" fillId="5" borderId="206" xfId="8" applyFont="1" applyFill="1" applyBorder="1" applyAlignment="1" applyProtection="1">
      <alignment horizontal="center" vertical="center"/>
    </xf>
    <xf numFmtId="0" fontId="1" fillId="5" borderId="223" xfId="8" applyFont="1" applyFill="1" applyBorder="1" applyAlignment="1" applyProtection="1">
      <alignment horizontal="center" vertical="center"/>
    </xf>
    <xf numFmtId="0" fontId="1" fillId="5" borderId="175" xfId="8" applyFont="1" applyFill="1" applyBorder="1" applyAlignment="1" applyProtection="1">
      <alignment horizontal="center" vertical="center"/>
    </xf>
    <xf numFmtId="0" fontId="1" fillId="5" borderId="148" xfId="8" applyFont="1" applyFill="1" applyBorder="1" applyAlignment="1" applyProtection="1">
      <alignment horizontal="center" vertical="center"/>
    </xf>
    <xf numFmtId="0" fontId="1" fillId="5" borderId="243" xfId="8" applyFont="1" applyFill="1" applyBorder="1" applyAlignment="1" applyProtection="1">
      <alignment horizontal="center" vertical="center"/>
    </xf>
    <xf numFmtId="0" fontId="1" fillId="5" borderId="167" xfId="8" applyFont="1" applyFill="1" applyBorder="1" applyAlignment="1" applyProtection="1">
      <alignment horizontal="center" vertical="center"/>
    </xf>
    <xf numFmtId="0" fontId="1" fillId="5" borderId="260" xfId="8" applyFont="1" applyFill="1" applyBorder="1" applyAlignment="1" applyProtection="1">
      <alignment horizontal="center" vertical="center"/>
    </xf>
    <xf numFmtId="0" fontId="1" fillId="0" borderId="91" xfId="8" applyFont="1" applyFill="1" applyBorder="1" applyAlignment="1" applyProtection="1">
      <alignment horizontal="left" vertical="center" wrapText="1"/>
      <protection locked="0"/>
    </xf>
    <xf numFmtId="0" fontId="1" fillId="0" borderId="5" xfId="8" applyFont="1" applyFill="1" applyBorder="1" applyAlignment="1" applyProtection="1">
      <alignment horizontal="left" vertical="center" wrapText="1"/>
      <protection locked="0"/>
    </xf>
    <xf numFmtId="0" fontId="1" fillId="0" borderId="6" xfId="8" applyFont="1" applyFill="1" applyBorder="1" applyAlignment="1" applyProtection="1">
      <alignment horizontal="left" vertical="center" wrapText="1"/>
      <protection locked="0"/>
    </xf>
    <xf numFmtId="0" fontId="1" fillId="5" borderId="142" xfId="8" applyFont="1" applyFill="1" applyBorder="1" applyAlignment="1" applyProtection="1">
      <alignment horizontal="left" vertical="center"/>
    </xf>
    <xf numFmtId="0" fontId="1" fillId="5" borderId="224" xfId="8" applyFont="1" applyFill="1" applyBorder="1" applyAlignment="1" applyProtection="1">
      <alignment horizontal="left" vertical="center"/>
    </xf>
    <xf numFmtId="0" fontId="1" fillId="5" borderId="117" xfId="8" applyFont="1" applyFill="1" applyBorder="1" applyAlignment="1" applyProtection="1">
      <alignment horizontal="center" vertical="center" wrapText="1"/>
    </xf>
    <xf numFmtId="0" fontId="1" fillId="5" borderId="203" xfId="8" applyFont="1" applyFill="1" applyBorder="1" applyAlignment="1" applyProtection="1">
      <alignment vertical="center"/>
    </xf>
    <xf numFmtId="0" fontId="1" fillId="5" borderId="2" xfId="8" applyFont="1" applyFill="1" applyBorder="1" applyAlignment="1" applyProtection="1">
      <alignment vertical="center"/>
    </xf>
    <xf numFmtId="0" fontId="1" fillId="5" borderId="56" xfId="8" applyFont="1" applyFill="1" applyBorder="1" applyAlignment="1" applyProtection="1">
      <alignment vertical="center"/>
    </xf>
    <xf numFmtId="0" fontId="1" fillId="0" borderId="125" xfId="7" applyFont="1" applyFill="1" applyBorder="1" applyAlignment="1" applyProtection="1">
      <alignment horizontal="center" vertical="center" wrapText="1"/>
      <protection locked="0"/>
    </xf>
    <xf numFmtId="0" fontId="1" fillId="0" borderId="2" xfId="7" applyFont="1" applyFill="1" applyBorder="1" applyAlignment="1" applyProtection="1">
      <alignment horizontal="center" vertical="center" wrapText="1"/>
      <protection locked="0"/>
    </xf>
    <xf numFmtId="0" fontId="1" fillId="0" borderId="56" xfId="7" applyFont="1" applyFill="1" applyBorder="1" applyAlignment="1" applyProtection="1">
      <alignment horizontal="center" vertical="center" wrapText="1"/>
      <protection locked="0"/>
    </xf>
    <xf numFmtId="0" fontId="1" fillId="0" borderId="86" xfId="7" applyFont="1" applyFill="1" applyBorder="1" applyAlignment="1" applyProtection="1">
      <alignment horizontal="left" vertical="center" wrapText="1"/>
      <protection locked="0"/>
    </xf>
    <xf numFmtId="0" fontId="1" fillId="0" borderId="44" xfId="7" applyFont="1" applyFill="1" applyBorder="1" applyAlignment="1" applyProtection="1">
      <alignment horizontal="left" vertical="center" wrapText="1"/>
      <protection locked="0"/>
    </xf>
    <xf numFmtId="0" fontId="1" fillId="0" borderId="114" xfId="7" applyFont="1" applyFill="1" applyBorder="1" applyAlignment="1" applyProtection="1">
      <alignment horizontal="left" vertical="center" wrapText="1"/>
      <protection locked="0"/>
    </xf>
    <xf numFmtId="0" fontId="1" fillId="5" borderId="175" xfId="8" applyFont="1" applyFill="1" applyBorder="1" applyAlignment="1" applyProtection="1">
      <alignment horizontal="left" vertical="center" wrapText="1" indent="1"/>
    </xf>
    <xf numFmtId="0" fontId="1" fillId="5" borderId="210" xfId="8" applyFont="1" applyFill="1" applyBorder="1" applyAlignment="1" applyProtection="1">
      <alignment horizontal="left" vertical="center" wrapText="1" indent="1"/>
    </xf>
    <xf numFmtId="0" fontId="1" fillId="0" borderId="119" xfId="8" applyFont="1" applyFill="1" applyBorder="1" applyAlignment="1" applyProtection="1">
      <alignment horizontal="center" vertical="center"/>
      <protection locked="0"/>
    </xf>
    <xf numFmtId="0" fontId="1" fillId="0" borderId="8" xfId="8" applyFont="1" applyFill="1" applyBorder="1" applyAlignment="1" applyProtection="1">
      <alignment horizontal="center" vertical="center"/>
      <protection locked="0"/>
    </xf>
    <xf numFmtId="0" fontId="1" fillId="5" borderId="141" xfId="8" applyFont="1" applyFill="1" applyBorder="1" applyAlignment="1" applyProtection="1">
      <alignment horizontal="center" vertical="center"/>
    </xf>
    <xf numFmtId="0" fontId="1" fillId="5" borderId="122" xfId="8" applyFont="1" applyFill="1" applyBorder="1" applyAlignment="1" applyProtection="1">
      <alignment horizontal="center" vertical="center" wrapText="1"/>
    </xf>
    <xf numFmtId="0" fontId="1" fillId="5" borderId="123" xfId="8" applyFont="1" applyFill="1" applyBorder="1" applyAlignment="1" applyProtection="1">
      <alignment horizontal="center" vertical="center" wrapText="1"/>
    </xf>
    <xf numFmtId="0" fontId="1" fillId="0" borderId="100" xfId="8" applyFont="1" applyFill="1" applyBorder="1" applyAlignment="1" applyProtection="1">
      <alignment horizontal="center" vertical="center" wrapText="1"/>
      <protection locked="0"/>
    </xf>
    <xf numFmtId="0" fontId="1" fillId="0" borderId="101" xfId="8" applyFont="1" applyFill="1" applyBorder="1" applyAlignment="1" applyProtection="1">
      <alignment horizontal="center" vertical="center" wrapText="1"/>
      <protection locked="0"/>
    </xf>
    <xf numFmtId="0" fontId="1" fillId="5" borderId="144" xfId="8" applyFont="1" applyFill="1" applyBorder="1" applyAlignment="1" applyProtection="1">
      <alignment horizontal="center" vertical="center"/>
    </xf>
    <xf numFmtId="0" fontId="4" fillId="0" borderId="118" xfId="8" applyFont="1" applyFill="1" applyBorder="1" applyAlignment="1" applyProtection="1">
      <alignment horizontal="center" vertical="center" wrapText="1"/>
      <protection locked="0"/>
    </xf>
    <xf numFmtId="0" fontId="1" fillId="5" borderId="209" xfId="8" applyFont="1" applyFill="1" applyBorder="1" applyAlignment="1" applyProtection="1">
      <alignment horizontal="left" vertical="center" wrapText="1"/>
    </xf>
    <xf numFmtId="0" fontId="1" fillId="5" borderId="220" xfId="8" applyFont="1" applyFill="1" applyBorder="1" applyAlignment="1" applyProtection="1">
      <alignment horizontal="left" vertical="center" wrapText="1"/>
    </xf>
    <xf numFmtId="0" fontId="1" fillId="5" borderId="262" xfId="8" applyFont="1" applyFill="1" applyBorder="1" applyAlignment="1" applyProtection="1">
      <alignment horizontal="left" vertical="center" wrapText="1"/>
    </xf>
    <xf numFmtId="0" fontId="1" fillId="0" borderId="91" xfId="8" applyFont="1" applyFill="1" applyBorder="1" applyAlignment="1" applyProtection="1">
      <alignment horizontal="center" vertical="center"/>
      <protection locked="0"/>
    </xf>
    <xf numFmtId="0" fontId="1" fillId="0" borderId="6" xfId="8" applyFont="1" applyFill="1" applyBorder="1" applyAlignment="1" applyProtection="1">
      <alignment horizontal="center" vertical="center"/>
      <protection locked="0"/>
    </xf>
    <xf numFmtId="0" fontId="1" fillId="5" borderId="203" xfId="8" applyFont="1" applyFill="1" applyBorder="1" applyAlignment="1" applyProtection="1">
      <alignment horizontal="left" vertical="center"/>
    </xf>
    <xf numFmtId="0" fontId="1" fillId="5" borderId="2" xfId="8" applyFont="1" applyFill="1" applyBorder="1" applyAlignment="1" applyProtection="1">
      <alignment horizontal="left" vertical="center"/>
    </xf>
    <xf numFmtId="0" fontId="1" fillId="5" borderId="127" xfId="8" applyFont="1" applyFill="1" applyBorder="1" applyAlignment="1" applyProtection="1">
      <alignment horizontal="left" vertical="center"/>
    </xf>
    <xf numFmtId="0" fontId="1" fillId="0" borderId="116" xfId="8" applyFont="1" applyFill="1" applyBorder="1" applyAlignment="1" applyProtection="1">
      <alignment horizontal="center" vertical="center"/>
      <protection locked="0"/>
    </xf>
    <xf numFmtId="0" fontId="1" fillId="0" borderId="118" xfId="8" applyFont="1" applyFill="1" applyBorder="1" applyAlignment="1" applyProtection="1">
      <alignment horizontal="center" vertical="center"/>
      <protection locked="0"/>
    </xf>
    <xf numFmtId="0" fontId="1" fillId="0" borderId="92" xfId="8" applyFont="1" applyFill="1" applyBorder="1" applyAlignment="1" applyProtection="1">
      <alignment horizontal="center" vertical="center"/>
      <protection locked="0"/>
    </xf>
    <xf numFmtId="0" fontId="1" fillId="5" borderId="225" xfId="8" applyFont="1" applyFill="1" applyBorder="1" applyAlignment="1" applyProtection="1">
      <alignment horizontal="left" vertical="center"/>
    </xf>
    <xf numFmtId="0" fontId="1" fillId="5" borderId="226" xfId="8" applyFont="1" applyFill="1" applyBorder="1" applyAlignment="1" applyProtection="1">
      <alignment horizontal="left" vertical="center"/>
    </xf>
    <xf numFmtId="0" fontId="1" fillId="5" borderId="0" xfId="8" applyFont="1" applyFill="1" applyBorder="1" applyAlignment="1" applyProtection="1">
      <alignment horizontal="left" vertical="center"/>
    </xf>
    <xf numFmtId="0" fontId="1" fillId="5" borderId="70" xfId="8" applyFont="1" applyFill="1" applyBorder="1" applyAlignment="1" applyProtection="1">
      <alignment horizontal="left" vertical="center"/>
    </xf>
    <xf numFmtId="0" fontId="1" fillId="0" borderId="63" xfId="8" applyFont="1" applyBorder="1" applyAlignment="1" applyProtection="1">
      <alignment horizontal="left" vertical="center" wrapText="1"/>
      <protection locked="0"/>
    </xf>
    <xf numFmtId="0" fontId="1" fillId="0" borderId="24" xfId="8" applyFont="1" applyBorder="1" applyAlignment="1" applyProtection="1">
      <alignment horizontal="left" vertical="center" wrapText="1"/>
      <protection locked="0"/>
    </xf>
    <xf numFmtId="0" fontId="1" fillId="0" borderId="97" xfId="8" applyFont="1" applyBorder="1" applyAlignment="1" applyProtection="1">
      <alignment horizontal="left" vertical="center" wrapText="1"/>
      <protection locked="0"/>
    </xf>
    <xf numFmtId="0" fontId="20" fillId="5" borderId="148" xfId="0" applyFont="1" applyFill="1" applyBorder="1" applyAlignment="1" applyProtection="1">
      <alignment horizontal="left" vertical="center" wrapText="1"/>
    </xf>
    <xf numFmtId="0" fontId="20" fillId="5" borderId="210" xfId="0" applyFont="1" applyFill="1" applyBorder="1" applyAlignment="1" applyProtection="1">
      <alignment horizontal="left" vertical="center" wrapText="1"/>
    </xf>
    <xf numFmtId="0" fontId="20" fillId="0" borderId="114" xfId="7" applyFont="1" applyFill="1" applyBorder="1" applyAlignment="1" applyProtection="1">
      <alignment horizontal="center" vertical="center" wrapText="1"/>
      <protection locked="0"/>
    </xf>
    <xf numFmtId="0" fontId="31" fillId="0" borderId="3" xfId="7" applyFont="1" applyBorder="1" applyAlignment="1" applyProtection="1">
      <alignment horizontal="center" vertical="center"/>
    </xf>
    <xf numFmtId="0" fontId="31" fillId="0" borderId="0" xfId="7" applyFont="1" applyBorder="1" applyAlignment="1" applyProtection="1">
      <alignment horizontal="center" vertical="center"/>
    </xf>
    <xf numFmtId="0" fontId="31" fillId="0" borderId="8" xfId="7" applyFont="1" applyBorder="1" applyAlignment="1" applyProtection="1">
      <alignment horizontal="center" vertical="center"/>
    </xf>
    <xf numFmtId="0" fontId="20" fillId="5" borderId="153" xfId="7" applyFont="1" applyFill="1" applyBorder="1" applyAlignment="1" applyProtection="1">
      <alignment horizontal="left" vertical="center" wrapText="1"/>
    </xf>
    <xf numFmtId="0" fontId="20" fillId="5" borderId="13" xfId="7" applyFont="1" applyFill="1" applyBorder="1" applyAlignment="1" applyProtection="1">
      <alignment horizontal="center" vertical="center"/>
    </xf>
    <xf numFmtId="0" fontId="20" fillId="5" borderId="113" xfId="7" applyFont="1" applyFill="1" applyBorder="1" applyAlignment="1" applyProtection="1">
      <alignment horizontal="center" vertical="center"/>
    </xf>
    <xf numFmtId="0" fontId="20" fillId="0" borderId="7" xfId="7" applyFont="1" applyFill="1" applyBorder="1" applyAlignment="1" applyProtection="1">
      <alignment horizontal="center" vertical="center"/>
      <protection locked="0"/>
    </xf>
    <xf numFmtId="0" fontId="20" fillId="0" borderId="14" xfId="7" applyFont="1" applyFill="1" applyBorder="1" applyAlignment="1" applyProtection="1">
      <alignment horizontal="center" vertical="center"/>
      <protection locked="0"/>
    </xf>
    <xf numFmtId="0" fontId="20" fillId="7" borderId="291" xfId="7" applyFont="1" applyFill="1" applyBorder="1" applyAlignment="1" applyProtection="1">
      <alignment horizontal="center" vertical="center" wrapText="1"/>
    </xf>
    <xf numFmtId="0" fontId="20" fillId="7" borderId="292" xfId="7" applyFont="1" applyFill="1" applyBorder="1" applyAlignment="1" applyProtection="1">
      <alignment horizontal="center" vertical="center" wrapText="1"/>
    </xf>
    <xf numFmtId="0" fontId="20" fillId="5" borderId="293" xfId="7" applyFont="1" applyFill="1" applyBorder="1" applyAlignment="1" applyProtection="1">
      <alignment horizontal="left" vertical="center" wrapText="1"/>
    </xf>
    <xf numFmtId="0" fontId="20" fillId="5" borderId="294" xfId="7" applyFont="1" applyFill="1" applyBorder="1" applyAlignment="1" applyProtection="1">
      <alignment horizontal="left" vertical="center" wrapText="1"/>
    </xf>
    <xf numFmtId="0" fontId="20" fillId="5" borderId="2" xfId="0" applyFont="1" applyFill="1" applyBorder="1" applyAlignment="1" applyProtection="1">
      <alignment horizontal="left" vertical="center"/>
    </xf>
    <xf numFmtId="0" fontId="20" fillId="5" borderId="224" xfId="0" applyFont="1" applyFill="1" applyBorder="1" applyAlignment="1" applyProtection="1">
      <alignment horizontal="left" vertical="center"/>
    </xf>
    <xf numFmtId="0" fontId="20" fillId="0" borderId="116" xfId="7" applyFont="1" applyFill="1" applyBorder="1" applyAlignment="1" applyProtection="1">
      <alignment horizontal="center" vertical="center" wrapText="1"/>
      <protection locked="0"/>
    </xf>
    <xf numFmtId="0" fontId="20" fillId="0" borderId="118" xfId="7" applyFont="1" applyFill="1" applyBorder="1" applyAlignment="1" applyProtection="1">
      <alignment horizontal="center" vertical="center" wrapText="1"/>
      <protection locked="0"/>
    </xf>
    <xf numFmtId="0" fontId="20" fillId="0" borderId="126" xfId="7" applyFont="1" applyFill="1" applyBorder="1" applyAlignment="1" applyProtection="1">
      <alignment horizontal="center" vertical="center" wrapText="1"/>
      <protection locked="0"/>
    </xf>
    <xf numFmtId="0" fontId="20" fillId="0" borderId="101" xfId="7" applyFont="1" applyFill="1" applyBorder="1" applyAlignment="1" applyProtection="1">
      <alignment horizontal="center" vertical="center" wrapText="1"/>
      <protection locked="0"/>
    </xf>
    <xf numFmtId="0" fontId="20" fillId="5" borderId="116" xfId="7" applyFont="1" applyFill="1" applyBorder="1" applyAlignment="1" applyProtection="1">
      <alignment horizontal="center" vertical="center" wrapText="1"/>
    </xf>
    <xf numFmtId="0" fontId="20" fillId="5" borderId="118" xfId="7" applyFont="1" applyFill="1" applyBorder="1" applyAlignment="1" applyProtection="1">
      <alignment horizontal="center" vertical="center" wrapText="1"/>
    </xf>
    <xf numFmtId="0" fontId="4" fillId="0" borderId="55" xfId="6" applyFont="1" applyFill="1" applyBorder="1" applyAlignment="1" applyProtection="1">
      <alignment horizontal="center"/>
    </xf>
    <xf numFmtId="0" fontId="4" fillId="0" borderId="54" xfId="6" applyFont="1" applyFill="1" applyBorder="1" applyAlignment="1" applyProtection="1">
      <alignment horizontal="center"/>
    </xf>
    <xf numFmtId="0" fontId="1" fillId="11" borderId="231" xfId="6" applyFont="1" applyFill="1" applyBorder="1" applyAlignment="1" applyProtection="1">
      <alignment horizontal="center" vertical="center" wrapText="1"/>
    </xf>
    <xf numFmtId="0" fontId="1" fillId="11" borderId="176" xfId="6" applyFont="1" applyFill="1" applyBorder="1" applyAlignment="1" applyProtection="1">
      <alignment horizontal="center" vertical="center" wrapText="1"/>
    </xf>
    <xf numFmtId="0" fontId="1" fillId="11" borderId="162" xfId="6" applyFont="1" applyFill="1" applyBorder="1" applyAlignment="1" applyProtection="1">
      <alignment horizontal="center" vertical="center" wrapText="1"/>
    </xf>
    <xf numFmtId="0" fontId="20" fillId="5" borderId="173" xfId="7" applyFont="1" applyFill="1" applyBorder="1" applyAlignment="1" applyProtection="1">
      <alignment horizontal="left" vertical="center" wrapText="1"/>
    </xf>
    <xf numFmtId="0" fontId="20" fillId="0" borderId="256" xfId="7" applyFont="1" applyFill="1" applyBorder="1" applyAlignment="1" applyProtection="1">
      <alignment horizontal="center" vertical="center" wrapText="1"/>
      <protection locked="0"/>
    </xf>
    <xf numFmtId="0" fontId="20" fillId="0" borderId="198" xfId="7" applyFont="1" applyFill="1" applyBorder="1" applyAlignment="1" applyProtection="1">
      <alignment horizontal="center" vertical="center" wrapText="1"/>
      <protection locked="0"/>
    </xf>
    <xf numFmtId="0" fontId="20" fillId="5" borderId="122" xfId="7" applyFont="1" applyFill="1" applyBorder="1" applyAlignment="1" applyProtection="1">
      <alignment horizontal="center" vertical="center"/>
    </xf>
    <xf numFmtId="0" fontId="20" fillId="5" borderId="100" xfId="7" applyFont="1" applyFill="1" applyBorder="1" applyAlignment="1" applyProtection="1">
      <alignment horizontal="center" vertical="center"/>
    </xf>
    <xf numFmtId="0" fontId="20" fillId="0" borderId="275" xfId="7" applyFont="1" applyFill="1" applyBorder="1" applyAlignment="1" applyProtection="1">
      <alignment horizontal="center" vertical="center" wrapText="1"/>
      <protection locked="0"/>
    </xf>
    <xf numFmtId="0" fontId="20" fillId="0" borderId="295" xfId="7" applyFont="1" applyFill="1" applyBorder="1" applyAlignment="1" applyProtection="1">
      <alignment horizontal="center" vertical="center" wrapText="1"/>
      <protection locked="0"/>
    </xf>
    <xf numFmtId="0" fontId="1" fillId="11" borderId="13" xfId="6" applyFont="1" applyFill="1" applyBorder="1" applyAlignment="1" applyProtection="1">
      <alignment horizontal="left" vertical="center" wrapText="1"/>
    </xf>
    <xf numFmtId="0" fontId="1" fillId="11" borderId="7" xfId="6" applyFont="1" applyFill="1" applyBorder="1" applyAlignment="1" applyProtection="1">
      <alignment horizontal="left" vertical="center" wrapText="1"/>
    </xf>
    <xf numFmtId="0" fontId="1" fillId="11" borderId="14" xfId="6" applyFont="1" applyFill="1" applyBorder="1" applyAlignment="1" applyProtection="1">
      <alignment horizontal="left" vertical="center" wrapText="1"/>
    </xf>
    <xf numFmtId="0" fontId="20" fillId="5" borderId="178" xfId="7" applyFont="1" applyFill="1" applyBorder="1" applyAlignment="1" applyProtection="1">
      <alignment horizontal="left" vertical="center" wrapText="1"/>
    </xf>
    <xf numFmtId="0" fontId="20" fillId="5" borderId="199" xfId="7" applyFont="1" applyFill="1" applyBorder="1" applyAlignment="1" applyProtection="1">
      <alignment horizontal="left" vertical="center" wrapText="1"/>
    </xf>
    <xf numFmtId="0" fontId="5" fillId="3" borderId="7" xfId="6" applyFont="1" applyFill="1" applyBorder="1" applyAlignment="1" applyProtection="1">
      <alignment horizontal="left"/>
    </xf>
    <xf numFmtId="0" fontId="20" fillId="4" borderId="66" xfId="8" applyFont="1" applyFill="1" applyBorder="1" applyAlignment="1" applyProtection="1">
      <alignment horizontal="center" vertical="center" wrapText="1"/>
      <protection locked="0"/>
    </xf>
    <xf numFmtId="0" fontId="20" fillId="4" borderId="78" xfId="8" applyFont="1" applyFill="1" applyBorder="1" applyAlignment="1" applyProtection="1">
      <alignment horizontal="center" vertical="center" wrapText="1"/>
      <protection locked="0"/>
    </xf>
    <xf numFmtId="0" fontId="20" fillId="4" borderId="80" xfId="8" applyFont="1" applyFill="1" applyBorder="1" applyAlignment="1" applyProtection="1">
      <alignment horizontal="center" vertical="center" wrapText="1"/>
      <protection locked="0"/>
    </xf>
    <xf numFmtId="0" fontId="20" fillId="4" borderId="77" xfId="8" applyFont="1" applyFill="1" applyBorder="1" applyAlignment="1" applyProtection="1">
      <alignment horizontal="center" vertical="center" wrapText="1"/>
      <protection locked="0"/>
    </xf>
    <xf numFmtId="0" fontId="1" fillId="0" borderId="44" xfId="6" applyFont="1" applyFill="1" applyBorder="1" applyAlignment="1" applyProtection="1">
      <alignment horizontal="center" vertical="center" wrapText="1"/>
      <protection locked="0"/>
    </xf>
    <xf numFmtId="0" fontId="20" fillId="5" borderId="185" xfId="8" applyFont="1" applyFill="1" applyBorder="1" applyAlignment="1" applyProtection="1">
      <alignment horizontal="center" vertical="center" wrapText="1"/>
    </xf>
    <xf numFmtId="0" fontId="20" fillId="5" borderId="255" xfId="8" applyFont="1" applyFill="1" applyBorder="1" applyAlignment="1" applyProtection="1">
      <alignment horizontal="center" vertical="center" wrapText="1"/>
    </xf>
    <xf numFmtId="0" fontId="20" fillId="5" borderId="163" xfId="8" applyFont="1" applyFill="1" applyBorder="1" applyAlignment="1" applyProtection="1">
      <alignment horizontal="center" vertical="center" wrapText="1"/>
    </xf>
    <xf numFmtId="0" fontId="20" fillId="5" borderId="223" xfId="8" applyFont="1" applyFill="1" applyBorder="1" applyAlignment="1" applyProtection="1">
      <alignment horizontal="center" vertical="center" wrapText="1"/>
    </xf>
    <xf numFmtId="0" fontId="1" fillId="5" borderId="259" xfId="6" applyFont="1" applyFill="1" applyBorder="1" applyAlignment="1" applyProtection="1">
      <alignment horizontal="left" vertical="center" wrapText="1"/>
    </xf>
    <xf numFmtId="0" fontId="20" fillId="5" borderId="141" xfId="8" applyFont="1" applyFill="1" applyBorder="1" applyAlignment="1" applyProtection="1">
      <alignment horizontal="left" vertical="center" wrapText="1"/>
    </xf>
    <xf numFmtId="0" fontId="20" fillId="5" borderId="184" xfId="8" applyFont="1" applyFill="1" applyBorder="1" applyAlignment="1" applyProtection="1">
      <alignment horizontal="left" vertical="center" wrapText="1"/>
    </xf>
    <xf numFmtId="0" fontId="20" fillId="5" borderId="175" xfId="8" applyFont="1" applyFill="1" applyBorder="1" applyAlignment="1" applyProtection="1">
      <alignment horizontal="left" vertical="center" wrapText="1"/>
    </xf>
    <xf numFmtId="0" fontId="20" fillId="5" borderId="148" xfId="8" applyFont="1" applyFill="1" applyBorder="1" applyAlignment="1" applyProtection="1">
      <alignment horizontal="left" vertical="center" wrapText="1"/>
    </xf>
    <xf numFmtId="0" fontId="20" fillId="5" borderId="210" xfId="8" applyFont="1" applyFill="1" applyBorder="1" applyAlignment="1" applyProtection="1">
      <alignment horizontal="left" vertical="center" wrapText="1"/>
    </xf>
    <xf numFmtId="0" fontId="20" fillId="5" borderId="231" xfId="8" applyFont="1" applyFill="1" applyBorder="1" applyAlignment="1" applyProtection="1">
      <alignment horizontal="center" vertical="center" wrapText="1"/>
    </xf>
    <xf numFmtId="0" fontId="20" fillId="5" borderId="176" xfId="8" applyFont="1" applyFill="1" applyBorder="1" applyAlignment="1" applyProtection="1">
      <alignment horizontal="center" vertical="center" wrapText="1"/>
    </xf>
    <xf numFmtId="0" fontId="20" fillId="5" borderId="162" xfId="8" applyFont="1" applyFill="1" applyBorder="1" applyAlignment="1" applyProtection="1">
      <alignment horizontal="center" vertical="center" wrapText="1"/>
    </xf>
    <xf numFmtId="0" fontId="20" fillId="4" borderId="86" xfId="8" applyFont="1" applyFill="1" applyBorder="1" applyAlignment="1" applyProtection="1">
      <alignment horizontal="center" vertical="center" wrapText="1"/>
      <protection locked="0"/>
    </xf>
    <xf numFmtId="0" fontId="20" fillId="4" borderId="83" xfId="8" applyFont="1" applyFill="1" applyBorder="1" applyAlignment="1" applyProtection="1">
      <alignment horizontal="center" vertical="center" wrapText="1"/>
      <protection locked="0"/>
    </xf>
    <xf numFmtId="0" fontId="20" fillId="5" borderId="192" xfId="8" applyFont="1" applyFill="1" applyBorder="1" applyAlignment="1" applyProtection="1">
      <alignment horizontal="center" vertical="center" wrapText="1"/>
    </xf>
    <xf numFmtId="0" fontId="20" fillId="5" borderId="209" xfId="8" applyFont="1" applyFill="1" applyBorder="1" applyAlignment="1" applyProtection="1">
      <alignment horizontal="center" vertical="center" wrapText="1"/>
    </xf>
    <xf numFmtId="0" fontId="20" fillId="5" borderId="220" xfId="8" applyFont="1" applyFill="1" applyBorder="1" applyAlignment="1" applyProtection="1">
      <alignment horizontal="center" vertical="center" wrapText="1"/>
    </xf>
    <xf numFmtId="0" fontId="1" fillId="5" borderId="183" xfId="6" applyFont="1" applyFill="1" applyBorder="1" applyAlignment="1" applyProtection="1">
      <alignment horizontal="left" vertical="center" wrapText="1"/>
    </xf>
    <xf numFmtId="0" fontId="20" fillId="5" borderId="167" xfId="8" applyFont="1" applyFill="1" applyBorder="1" applyAlignment="1" applyProtection="1">
      <alignment horizontal="left" vertical="center" wrapText="1"/>
    </xf>
    <xf numFmtId="0" fontId="20" fillId="5" borderId="174" xfId="8" applyFont="1" applyFill="1" applyBorder="1" applyAlignment="1" applyProtection="1">
      <alignment horizontal="left" vertical="center" wrapText="1"/>
    </xf>
    <xf numFmtId="0" fontId="5" fillId="3" borderId="55" xfId="7" applyFont="1" applyFill="1" applyBorder="1" applyAlignment="1" applyProtection="1">
      <alignment horizontal="left"/>
    </xf>
    <xf numFmtId="0" fontId="5" fillId="3" borderId="54" xfId="7" applyFont="1" applyFill="1" applyBorder="1" applyAlignment="1" applyProtection="1">
      <alignment horizontal="left"/>
    </xf>
    <xf numFmtId="0" fontId="5" fillId="3" borderId="71" xfId="7" applyFont="1" applyFill="1" applyBorder="1" applyAlignment="1" applyProtection="1">
      <alignment horizontal="left"/>
    </xf>
    <xf numFmtId="0" fontId="20" fillId="5" borderId="194" xfId="8" applyFont="1" applyFill="1" applyBorder="1" applyAlignment="1" applyProtection="1">
      <alignment horizontal="left" vertical="center" wrapText="1"/>
    </xf>
    <xf numFmtId="0" fontId="20" fillId="5" borderId="207" xfId="8" applyFont="1" applyFill="1" applyBorder="1" applyAlignment="1" applyProtection="1">
      <alignment horizontal="left" vertical="center" wrapText="1"/>
    </xf>
    <xf numFmtId="0" fontId="20" fillId="5" borderId="177" xfId="8" applyFont="1" applyFill="1" applyBorder="1" applyAlignment="1" applyProtection="1">
      <alignment horizontal="left" vertical="center" wrapText="1"/>
    </xf>
    <xf numFmtId="0" fontId="1" fillId="5" borderId="140" xfId="6" applyFont="1" applyFill="1" applyBorder="1" applyAlignment="1" applyProtection="1">
      <alignment horizontal="left" vertical="center" wrapText="1"/>
    </xf>
    <xf numFmtId="0" fontId="1" fillId="5" borderId="0" xfId="6" applyFont="1" applyFill="1" applyBorder="1" applyAlignment="1" applyProtection="1">
      <alignment horizontal="left" vertical="center" wrapText="1"/>
    </xf>
    <xf numFmtId="0" fontId="1" fillId="5" borderId="8" xfId="6" applyFont="1" applyFill="1" applyBorder="1" applyAlignment="1" applyProtection="1">
      <alignment horizontal="left" vertical="center" wrapText="1"/>
    </xf>
    <xf numFmtId="0" fontId="31" fillId="0" borderId="55" xfId="7" applyFont="1" applyBorder="1" applyAlignment="1" applyProtection="1">
      <alignment horizontal="center"/>
    </xf>
    <xf numFmtId="0" fontId="31" fillId="0" borderId="54" xfId="7" applyFont="1" applyBorder="1" applyAlignment="1" applyProtection="1">
      <alignment horizontal="center"/>
    </xf>
    <xf numFmtId="0" fontId="31" fillId="0" borderId="71" xfId="7" applyFont="1" applyBorder="1" applyAlignment="1" applyProtection="1">
      <alignment horizontal="center"/>
    </xf>
    <xf numFmtId="0" fontId="36" fillId="18" borderId="13" xfId="7" applyFont="1" applyFill="1" applyBorder="1" applyAlignment="1" applyProtection="1">
      <alignment horizontal="left" vertical="center"/>
    </xf>
    <xf numFmtId="0" fontId="36" fillId="18" borderId="7" xfId="7" applyFont="1" applyFill="1" applyBorder="1" applyAlignment="1" applyProtection="1">
      <alignment horizontal="left" vertical="center"/>
    </xf>
    <xf numFmtId="0" fontId="36" fillId="18" borderId="14" xfId="7" applyFont="1" applyFill="1" applyBorder="1" applyAlignment="1" applyProtection="1">
      <alignment horizontal="left" vertical="center"/>
    </xf>
    <xf numFmtId="0" fontId="20" fillId="5" borderId="3" xfId="7" applyFont="1" applyFill="1" applyBorder="1" applyAlignment="1" applyProtection="1">
      <alignment horizontal="left" vertical="center" wrapText="1"/>
    </xf>
    <xf numFmtId="0" fontId="20" fillId="0" borderId="63" xfId="7" applyFont="1" applyBorder="1" applyAlignment="1" applyProtection="1">
      <alignment horizontal="left" vertical="top" wrapText="1"/>
      <protection locked="0"/>
    </xf>
    <xf numFmtId="0" fontId="20" fillId="0" borderId="97" xfId="7" applyFont="1" applyBorder="1" applyAlignment="1" applyProtection="1">
      <alignment horizontal="left" vertical="top" wrapText="1"/>
      <protection locked="0"/>
    </xf>
    <xf numFmtId="0" fontId="2" fillId="5" borderId="3" xfId="3" applyFill="1" applyBorder="1" applyAlignment="1" applyProtection="1">
      <alignment horizontal="left" vertical="top" wrapText="1"/>
    </xf>
    <xf numFmtId="0" fontId="2" fillId="5" borderId="0" xfId="3" applyFill="1" applyBorder="1" applyAlignment="1" applyProtection="1">
      <alignment horizontal="left" vertical="top" wrapText="1"/>
    </xf>
    <xf numFmtId="0" fontId="2" fillId="5" borderId="8" xfId="3" applyFill="1" applyBorder="1" applyAlignment="1" applyProtection="1">
      <alignment horizontal="left" vertical="top" wrapText="1"/>
    </xf>
    <xf numFmtId="0" fontId="20" fillId="0" borderId="0" xfId="7" applyFont="1" applyAlignment="1" applyProtection="1">
      <alignment horizontal="center"/>
    </xf>
    <xf numFmtId="0" fontId="23" fillId="0" borderId="1" xfId="7" applyFont="1" applyBorder="1" applyAlignment="1" applyProtection="1">
      <alignment horizontal="center"/>
    </xf>
    <xf numFmtId="0" fontId="23" fillId="0" borderId="2" xfId="7" applyFont="1" applyBorder="1" applyAlignment="1" applyProtection="1">
      <alignment horizontal="center"/>
    </xf>
    <xf numFmtId="0" fontId="23" fillId="0" borderId="56" xfId="7" applyFont="1" applyBorder="1" applyAlignment="1" applyProtection="1">
      <alignment horizontal="center"/>
    </xf>
    <xf numFmtId="0" fontId="20" fillId="0" borderId="119" xfId="7" applyFont="1" applyBorder="1" applyAlignment="1" applyProtection="1">
      <alignment horizontal="left" vertical="top" wrapText="1"/>
      <protection locked="0"/>
    </xf>
    <xf numFmtId="0" fontId="20" fillId="0" borderId="8" xfId="7" applyFont="1" applyBorder="1" applyAlignment="1" applyProtection="1">
      <alignment horizontal="left" vertical="top" wrapText="1"/>
      <protection locked="0"/>
    </xf>
    <xf numFmtId="49" fontId="20" fillId="0" borderId="63" xfId="7" applyNumberFormat="1" applyFont="1" applyBorder="1" applyAlignment="1" applyProtection="1">
      <alignment horizontal="left" vertical="top" wrapText="1"/>
      <protection locked="0"/>
    </xf>
    <xf numFmtId="49" fontId="20" fillId="0" borderId="97" xfId="7" applyNumberFormat="1" applyFont="1" applyBorder="1" applyAlignment="1" applyProtection="1">
      <alignment horizontal="left" vertical="top" wrapText="1"/>
      <protection locked="0"/>
    </xf>
    <xf numFmtId="14" fontId="20" fillId="0" borderId="126" xfId="7" applyNumberFormat="1" applyFont="1" applyBorder="1" applyAlignment="1" applyProtection="1">
      <alignment horizontal="left" vertical="top" wrapText="1"/>
      <protection locked="0"/>
    </xf>
    <xf numFmtId="14" fontId="20" fillId="0" borderId="101" xfId="7" applyNumberFormat="1" applyFont="1" applyBorder="1" applyAlignment="1" applyProtection="1">
      <alignment horizontal="left" vertical="top" wrapText="1"/>
      <protection locked="0"/>
    </xf>
    <xf numFmtId="0" fontId="20" fillId="5" borderId="122" xfId="7" applyFont="1" applyFill="1" applyBorder="1" applyProtection="1"/>
    <xf numFmtId="0" fontId="20" fillId="5" borderId="100" xfId="7" applyFont="1" applyFill="1" applyBorder="1" applyProtection="1"/>
    <xf numFmtId="0" fontId="20" fillId="5" borderId="101" xfId="7" applyFont="1" applyFill="1" applyBorder="1" applyProtection="1"/>
    <xf numFmtId="0" fontId="20" fillId="0" borderId="4" xfId="7" applyFont="1" applyBorder="1" applyAlignment="1" applyProtection="1">
      <alignment horizontal="left" vertical="top" wrapText="1"/>
      <protection locked="0"/>
    </xf>
    <xf numFmtId="0" fontId="20" fillId="0" borderId="5" xfId="7" applyFont="1" applyBorder="1" applyAlignment="1" applyProtection="1">
      <alignment horizontal="left" vertical="top" wrapText="1"/>
      <protection locked="0"/>
    </xf>
    <xf numFmtId="0" fontId="20" fillId="0" borderId="6" xfId="7" applyFont="1" applyBorder="1" applyAlignment="1" applyProtection="1">
      <alignment horizontal="left" vertical="top" wrapText="1"/>
      <protection locked="0"/>
    </xf>
    <xf numFmtId="2" fontId="20" fillId="0" borderId="112" xfId="7" applyNumberFormat="1" applyFont="1" applyBorder="1" applyAlignment="1" applyProtection="1">
      <alignment horizontal="center" vertical="center" wrapText="1"/>
      <protection locked="0"/>
    </xf>
    <xf numFmtId="2" fontId="20" fillId="0" borderId="14" xfId="7" applyNumberFormat="1" applyFont="1" applyBorder="1" applyAlignment="1" applyProtection="1">
      <alignment horizontal="center" vertical="center" wrapText="1"/>
      <protection locked="0"/>
    </xf>
  </cellXfs>
  <cellStyles count="11">
    <cellStyle name="Currency" xfId="1" builtinId="4"/>
    <cellStyle name="Currency 2" xfId="2"/>
    <cellStyle name="Hyperlink" xfId="3" builtinId="8"/>
    <cellStyle name="Hyperlink 2" xfId="4"/>
    <cellStyle name="Hyperlink 3" xfId="5"/>
    <cellStyle name="Normal" xfId="0" builtinId="0"/>
    <cellStyle name="Normal 2" xfId="6"/>
    <cellStyle name="Normal 3" xfId="7"/>
    <cellStyle name="Normal 4" xfId="8"/>
    <cellStyle name="Normal 5" xfId="9"/>
    <cellStyle name="Percent" xfId="10" builtinId="5"/>
  </cellStyles>
  <dxfs count="25">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FF0000"/>
      </font>
    </dxf>
    <dxf>
      <font>
        <color rgb="FF92D050"/>
      </font>
    </dxf>
    <dxf>
      <font>
        <b/>
        <i val="0"/>
      </font>
      <fill>
        <patternFill>
          <bgColor theme="5" tint="0.59996337778862885"/>
        </patternFill>
      </fill>
    </dxf>
    <dxf>
      <font>
        <color rgb="FFFF0000"/>
      </font>
    </dxf>
    <dxf>
      <font>
        <color rgb="FFFF0000"/>
      </font>
    </dxf>
    <dxf>
      <font>
        <color rgb="FFFF0000"/>
      </font>
    </dxf>
    <dxf>
      <font>
        <color rgb="FFFF0000"/>
      </font>
    </dxf>
    <dxf>
      <font>
        <color rgb="FFFF0000"/>
      </font>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5</xdr:row>
      <xdr:rowOff>152400</xdr:rowOff>
    </xdr:from>
    <xdr:to>
      <xdr:col>8</xdr:col>
      <xdr:colOff>190500</xdr:colOff>
      <xdr:row>5</xdr:row>
      <xdr:rowOff>1400175</xdr:rowOff>
    </xdr:to>
    <xdr:pic>
      <xdr:nvPicPr>
        <xdr:cNvPr id="184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1323975"/>
          <a:ext cx="12477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OTE\DIB%20Assessments\DSS\Survey%20Template\Critical%20Facilities%20Survey%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7">
          <cell r="M17">
            <v>2013</v>
          </cell>
        </row>
        <row r="18">
          <cell r="M18">
            <v>2014</v>
          </cell>
        </row>
        <row r="19">
          <cell r="M19">
            <v>2015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AF5" t="str">
            <v>No Sales</v>
          </cell>
        </row>
        <row r="10">
          <cell r="AF10">
            <v>0</v>
          </cell>
        </row>
        <row r="17">
          <cell r="AF17" t="str">
            <v>No Sales</v>
          </cell>
        </row>
        <row r="22">
          <cell r="AF22">
            <v>0</v>
          </cell>
        </row>
        <row r="29">
          <cell r="AF29" t="str">
            <v>No Sales</v>
          </cell>
        </row>
        <row r="34">
          <cell r="AF34">
            <v>0</v>
          </cell>
        </row>
      </sheetData>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ensus.gov/epcd/www/naics.html" TargetMode="External"/><Relationship Id="rId1" Type="http://schemas.openxmlformats.org/officeDocument/2006/relationships/hyperlink" Target="http://fedgov.dnb.com/webform" TargetMode="Externa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showGridLines="0" showRowColHeaders="0" tabSelected="1" zoomScaleNormal="100" workbookViewId="0"/>
  </sheetViews>
  <sheetFormatPr defaultColWidth="11.42578125" defaultRowHeight="12.75"/>
  <cols>
    <col min="1" max="1" width="8.5703125" style="1" customWidth="1"/>
    <col min="2" max="10" width="11.42578125" style="1" customWidth="1"/>
    <col min="11" max="11" width="8.42578125" style="1" customWidth="1"/>
    <col min="12" max="12" width="10.42578125" style="1" customWidth="1"/>
    <col min="13" max="16384" width="11.42578125" style="1"/>
  </cols>
  <sheetData>
    <row r="1" spans="1:15" ht="13.5" customHeight="1" thickBot="1"/>
    <row r="2" spans="1:15" ht="13.5" customHeight="1">
      <c r="B2" s="2"/>
      <c r="C2" s="3"/>
      <c r="D2" s="3"/>
      <c r="E2" s="3"/>
      <c r="F2" s="3"/>
      <c r="G2" s="3"/>
      <c r="H2" s="3"/>
      <c r="I2" s="3"/>
      <c r="J2" s="3"/>
      <c r="K2" s="3"/>
      <c r="L2" s="3"/>
      <c r="M2" s="643" t="s">
        <v>486</v>
      </c>
      <c r="N2" s="644"/>
    </row>
    <row r="3" spans="1:15" ht="13.5" customHeight="1">
      <c r="B3" s="4"/>
      <c r="L3" s="645" t="s">
        <v>0</v>
      </c>
      <c r="M3" s="645"/>
      <c r="N3" s="646"/>
      <c r="O3" s="5"/>
    </row>
    <row r="4" spans="1:15">
      <c r="B4" s="4"/>
      <c r="L4" s="647" t="s">
        <v>550</v>
      </c>
      <c r="M4" s="647"/>
      <c r="N4" s="648"/>
      <c r="O4" s="5"/>
    </row>
    <row r="5" spans="1:15" ht="39" customHeight="1">
      <c r="B5" s="649" t="s">
        <v>908</v>
      </c>
      <c r="C5" s="650"/>
      <c r="D5" s="650"/>
      <c r="E5" s="650"/>
      <c r="F5" s="650"/>
      <c r="G5" s="650"/>
      <c r="H5" s="650"/>
      <c r="I5" s="650"/>
      <c r="J5" s="650"/>
      <c r="K5" s="650"/>
      <c r="L5" s="650"/>
      <c r="M5" s="650"/>
      <c r="N5" s="651"/>
      <c r="O5" s="6"/>
    </row>
    <row r="6" spans="1:15" ht="124.5" customHeight="1">
      <c r="A6" s="7"/>
      <c r="B6" s="652"/>
      <c r="C6" s="653"/>
      <c r="D6" s="653"/>
      <c r="E6" s="653"/>
      <c r="F6" s="653"/>
      <c r="G6" s="653"/>
      <c r="H6" s="653"/>
      <c r="I6" s="653"/>
      <c r="J6" s="653"/>
      <c r="K6" s="653"/>
      <c r="L6" s="653"/>
      <c r="M6" s="653"/>
      <c r="N6" s="654"/>
      <c r="O6" s="5"/>
    </row>
    <row r="7" spans="1:15" ht="13.5" thickBot="1">
      <c r="A7" s="8"/>
      <c r="B7" s="637" t="s">
        <v>1</v>
      </c>
      <c r="C7" s="638"/>
      <c r="D7" s="638"/>
      <c r="E7" s="638"/>
      <c r="F7" s="638"/>
      <c r="G7" s="638"/>
      <c r="H7" s="638"/>
      <c r="I7" s="638"/>
      <c r="J7" s="638"/>
      <c r="K7" s="638"/>
      <c r="L7" s="638"/>
      <c r="M7" s="638"/>
      <c r="N7" s="639"/>
    </row>
    <row r="8" spans="1:15" ht="118.5" customHeight="1">
      <c r="A8" s="8"/>
      <c r="B8" s="634" t="s">
        <v>2242</v>
      </c>
      <c r="C8" s="635"/>
      <c r="D8" s="635"/>
      <c r="E8" s="635"/>
      <c r="F8" s="635"/>
      <c r="G8" s="635"/>
      <c r="H8" s="635"/>
      <c r="I8" s="635"/>
      <c r="J8" s="635"/>
      <c r="K8" s="635"/>
      <c r="L8" s="635"/>
      <c r="M8" s="635"/>
      <c r="N8" s="636"/>
    </row>
    <row r="9" spans="1:15" ht="13.5" thickBot="1">
      <c r="A9" s="8"/>
      <c r="B9" s="637" t="s">
        <v>2</v>
      </c>
      <c r="C9" s="638"/>
      <c r="D9" s="638"/>
      <c r="E9" s="638"/>
      <c r="F9" s="638"/>
      <c r="G9" s="638"/>
      <c r="H9" s="638"/>
      <c r="I9" s="638"/>
      <c r="J9" s="638"/>
      <c r="K9" s="638"/>
      <c r="L9" s="638"/>
      <c r="M9" s="638"/>
      <c r="N9" s="639"/>
    </row>
    <row r="10" spans="1:15" ht="112.5" customHeight="1">
      <c r="A10" s="8"/>
      <c r="B10" s="634" t="s">
        <v>514</v>
      </c>
      <c r="C10" s="635"/>
      <c r="D10" s="635"/>
      <c r="E10" s="635"/>
      <c r="F10" s="635"/>
      <c r="G10" s="635"/>
      <c r="H10" s="635"/>
      <c r="I10" s="635"/>
      <c r="J10" s="635"/>
      <c r="K10" s="635"/>
      <c r="L10" s="635"/>
      <c r="M10" s="635"/>
      <c r="N10" s="636"/>
    </row>
    <row r="11" spans="1:15" ht="13.5" thickBot="1">
      <c r="A11" s="8"/>
      <c r="B11" s="637" t="s">
        <v>3</v>
      </c>
      <c r="C11" s="638"/>
      <c r="D11" s="638"/>
      <c r="E11" s="638"/>
      <c r="F11" s="638"/>
      <c r="G11" s="638"/>
      <c r="H11" s="638"/>
      <c r="I11" s="638"/>
      <c r="J11" s="638"/>
      <c r="K11" s="638"/>
      <c r="L11" s="638"/>
      <c r="M11" s="638"/>
      <c r="N11" s="639"/>
    </row>
    <row r="12" spans="1:15" ht="60.75" customHeight="1">
      <c r="A12" s="8"/>
      <c r="B12" s="634" t="s">
        <v>1399</v>
      </c>
      <c r="C12" s="635"/>
      <c r="D12" s="635"/>
      <c r="E12" s="635"/>
      <c r="F12" s="635"/>
      <c r="G12" s="635"/>
      <c r="H12" s="635"/>
      <c r="I12" s="635"/>
      <c r="J12" s="635"/>
      <c r="K12" s="635"/>
      <c r="L12" s="635"/>
      <c r="M12" s="635"/>
      <c r="N12" s="636"/>
    </row>
    <row r="13" spans="1:15">
      <c r="A13" s="8"/>
      <c r="B13" s="9"/>
      <c r="C13" s="10"/>
      <c r="D13" s="10"/>
      <c r="E13" s="10"/>
      <c r="F13" s="10"/>
      <c r="G13" s="10"/>
      <c r="H13" s="10"/>
      <c r="I13" s="10"/>
      <c r="J13" s="10"/>
      <c r="K13" s="10"/>
      <c r="L13" s="10"/>
      <c r="M13" s="10"/>
      <c r="N13" s="11"/>
    </row>
    <row r="14" spans="1:15" ht="13.5" thickBot="1">
      <c r="A14" s="8"/>
      <c r="B14" s="640" t="s">
        <v>4</v>
      </c>
      <c r="C14" s="641"/>
      <c r="D14" s="641"/>
      <c r="E14" s="641"/>
      <c r="F14" s="641"/>
      <c r="G14" s="641"/>
      <c r="H14" s="641"/>
      <c r="I14" s="641"/>
      <c r="J14" s="641"/>
      <c r="K14" s="641"/>
      <c r="L14" s="641"/>
      <c r="M14" s="641"/>
      <c r="N14" s="642"/>
    </row>
  </sheetData>
  <sheetProtection password="C288" sheet="1"/>
  <mergeCells count="12">
    <mergeCell ref="M2:N2"/>
    <mergeCell ref="L3:N3"/>
    <mergeCell ref="L4:N4"/>
    <mergeCell ref="B5:N5"/>
    <mergeCell ref="B6:N6"/>
    <mergeCell ref="B7:N7"/>
    <mergeCell ref="B8:N8"/>
    <mergeCell ref="B9:N9"/>
    <mergeCell ref="B10:N10"/>
    <mergeCell ref="B11:N11"/>
    <mergeCell ref="B12:N12"/>
    <mergeCell ref="B14:N14"/>
  </mergeCells>
  <hyperlinks>
    <hyperlink ref="M2:N2" location="'Table of Contents'!A1" tooltip="Table of Contents" display="Next Page"/>
  </hyperlinks>
  <pageMargins left="0.25" right="0.25" top="0.75" bottom="0.75" header="0.3" footer="0.3"/>
  <pageSetup scale="92" orientation="landscape" cellComments="atEnd" horizontalDpi="300" verticalDpi="300" r:id="rId1"/>
  <headerFooter>
    <oddHeader>&amp;F</oddHeader>
    <oddFooter>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showGridLines="0" showRowColHeaders="0" zoomScaleNormal="100" workbookViewId="0"/>
  </sheetViews>
  <sheetFormatPr defaultColWidth="27" defaultRowHeight="12.75"/>
  <cols>
    <col min="1" max="1" width="8.5703125" style="57" customWidth="1"/>
    <col min="2" max="2" width="3.7109375" style="57" customWidth="1"/>
    <col min="3" max="3" width="12" style="57" customWidth="1"/>
    <col min="4" max="4" width="38.140625" style="57" customWidth="1"/>
    <col min="5" max="6" width="30.85546875" style="57" customWidth="1"/>
    <col min="7" max="7" width="22" style="58" customWidth="1"/>
    <col min="8" max="8" width="23.42578125" style="57" customWidth="1"/>
    <col min="9" max="249" width="8.85546875" style="57" customWidth="1"/>
    <col min="250" max="251" width="3.7109375" style="57" customWidth="1"/>
    <col min="252" max="16384" width="27" style="57"/>
  </cols>
  <sheetData>
    <row r="1" spans="1:8" ht="13.5" customHeight="1" thickBot="1">
      <c r="A1" s="195"/>
      <c r="B1" s="195"/>
      <c r="C1" s="195"/>
      <c r="D1" s="195"/>
      <c r="E1" s="195"/>
      <c r="F1" s="195"/>
      <c r="G1" s="196"/>
      <c r="H1" s="195"/>
    </row>
    <row r="2" spans="1:8" ht="13.5" customHeight="1" thickBot="1">
      <c r="A2" s="195"/>
      <c r="B2" s="655" t="s">
        <v>487</v>
      </c>
      <c r="C2" s="656"/>
      <c r="D2" s="143"/>
      <c r="E2" s="108" t="s">
        <v>1204</v>
      </c>
      <c r="F2" s="108"/>
      <c r="G2" s="15"/>
      <c r="H2" s="113" t="s">
        <v>486</v>
      </c>
    </row>
    <row r="3" spans="1:8" ht="13.5" customHeight="1" thickBot="1">
      <c r="A3" s="195"/>
      <c r="B3" s="958" t="s">
        <v>631</v>
      </c>
      <c r="C3" s="959"/>
      <c r="D3" s="959"/>
      <c r="E3" s="959"/>
      <c r="F3" s="959"/>
      <c r="G3" s="959"/>
      <c r="H3" s="960"/>
    </row>
    <row r="4" spans="1:8" ht="30" customHeight="1">
      <c r="A4" s="195"/>
      <c r="B4" s="973" t="s">
        <v>5</v>
      </c>
      <c r="C4" s="341" t="s">
        <v>1195</v>
      </c>
      <c r="D4" s="341"/>
      <c r="E4" s="197"/>
      <c r="F4" s="197"/>
      <c r="G4" s="986"/>
      <c r="H4" s="987"/>
    </row>
    <row r="5" spans="1:8" ht="30" customHeight="1" thickBot="1">
      <c r="A5" s="195"/>
      <c r="B5" s="975"/>
      <c r="C5" s="232" t="s">
        <v>448</v>
      </c>
      <c r="D5" s="970"/>
      <c r="E5" s="971"/>
      <c r="F5" s="971"/>
      <c r="G5" s="971"/>
      <c r="H5" s="972"/>
    </row>
    <row r="6" spans="1:8" ht="13.5" customHeight="1">
      <c r="A6" s="195"/>
      <c r="B6" s="973" t="s">
        <v>6</v>
      </c>
      <c r="C6" s="976" t="s">
        <v>1196</v>
      </c>
      <c r="D6" s="977"/>
      <c r="E6" s="977"/>
      <c r="F6" s="310"/>
      <c r="G6" s="310"/>
      <c r="H6" s="198"/>
    </row>
    <row r="7" spans="1:8" ht="13.5" customHeight="1">
      <c r="A7" s="195"/>
      <c r="B7" s="974"/>
      <c r="C7" s="311"/>
      <c r="D7" s="199"/>
      <c r="E7" s="200" t="s">
        <v>498</v>
      </c>
      <c r="F7" s="968" t="s">
        <v>468</v>
      </c>
      <c r="G7" s="968"/>
      <c r="H7" s="969"/>
    </row>
    <row r="8" spans="1:8" ht="13.5" customHeight="1">
      <c r="A8" s="195"/>
      <c r="B8" s="974"/>
      <c r="C8" s="954" t="s">
        <v>1122</v>
      </c>
      <c r="D8" s="955"/>
      <c r="E8" s="438"/>
      <c r="F8" s="961"/>
      <c r="G8" s="961"/>
      <c r="H8" s="962"/>
    </row>
    <row r="9" spans="1:8" ht="13.5" customHeight="1">
      <c r="A9" s="195"/>
      <c r="B9" s="974"/>
      <c r="C9" s="954" t="s">
        <v>1123</v>
      </c>
      <c r="D9" s="955"/>
      <c r="E9" s="438"/>
      <c r="F9" s="961"/>
      <c r="G9" s="961"/>
      <c r="H9" s="962"/>
    </row>
    <row r="10" spans="1:8" ht="13.5" customHeight="1">
      <c r="A10" s="195"/>
      <c r="B10" s="974"/>
      <c r="C10" s="954" t="s">
        <v>627</v>
      </c>
      <c r="D10" s="955"/>
      <c r="E10" s="438"/>
      <c r="F10" s="961"/>
      <c r="G10" s="961"/>
      <c r="H10" s="962"/>
    </row>
    <row r="11" spans="1:8" ht="13.5" customHeight="1">
      <c r="A11" s="195"/>
      <c r="B11" s="974"/>
      <c r="C11" s="954" t="s">
        <v>628</v>
      </c>
      <c r="D11" s="955"/>
      <c r="E11" s="438"/>
      <c r="F11" s="961"/>
      <c r="G11" s="961"/>
      <c r="H11" s="962"/>
    </row>
    <row r="12" spans="1:8" ht="13.5" customHeight="1">
      <c r="A12" s="195"/>
      <c r="B12" s="974"/>
      <c r="C12" s="954" t="s">
        <v>629</v>
      </c>
      <c r="D12" s="955"/>
      <c r="E12" s="438"/>
      <c r="F12" s="961"/>
      <c r="G12" s="961"/>
      <c r="H12" s="962"/>
    </row>
    <row r="13" spans="1:8" ht="13.5" customHeight="1">
      <c r="A13" s="195"/>
      <c r="B13" s="974"/>
      <c r="C13" s="956" t="s">
        <v>1124</v>
      </c>
      <c r="D13" s="957"/>
      <c r="E13" s="438"/>
      <c r="F13" s="963"/>
      <c r="G13" s="964"/>
      <c r="H13" s="965"/>
    </row>
    <row r="14" spans="1:8" ht="13.5" customHeight="1">
      <c r="A14" s="195"/>
      <c r="B14" s="974"/>
      <c r="C14" s="956" t="s">
        <v>1125</v>
      </c>
      <c r="D14" s="957"/>
      <c r="E14" s="438"/>
      <c r="F14" s="963"/>
      <c r="G14" s="964"/>
      <c r="H14" s="965"/>
    </row>
    <row r="15" spans="1:8" ht="13.5" customHeight="1" thickBot="1">
      <c r="A15" s="195"/>
      <c r="B15" s="975"/>
      <c r="C15" s="201" t="s">
        <v>630</v>
      </c>
      <c r="D15" s="440" t="s">
        <v>405</v>
      </c>
      <c r="E15" s="439"/>
      <c r="F15" s="966"/>
      <c r="G15" s="966"/>
      <c r="H15" s="967"/>
    </row>
    <row r="16" spans="1:8" ht="39.75" customHeight="1" thickBot="1">
      <c r="A16" s="195"/>
      <c r="B16" s="171" t="s">
        <v>7</v>
      </c>
      <c r="C16" s="944" t="s">
        <v>1197</v>
      </c>
      <c r="D16" s="945"/>
      <c r="E16" s="945"/>
      <c r="F16" s="945"/>
      <c r="G16" s="945"/>
      <c r="H16" s="946"/>
    </row>
    <row r="17" spans="1:8" ht="12.75" customHeight="1">
      <c r="A17" s="195"/>
      <c r="B17" s="947" t="s">
        <v>81</v>
      </c>
      <c r="C17" s="948"/>
      <c r="D17" s="948"/>
      <c r="E17" s="948"/>
      <c r="F17" s="948"/>
      <c r="G17" s="948"/>
      <c r="H17" s="949"/>
    </row>
    <row r="18" spans="1:8" ht="12.75" customHeight="1">
      <c r="A18" s="195"/>
      <c r="B18" s="990" t="s">
        <v>82</v>
      </c>
      <c r="C18" s="991"/>
      <c r="D18" s="992"/>
      <c r="E18" s="950" t="s">
        <v>83</v>
      </c>
      <c r="F18" s="937" t="s">
        <v>620</v>
      </c>
      <c r="G18" s="952" t="s">
        <v>84</v>
      </c>
      <c r="H18" s="984" t="s">
        <v>85</v>
      </c>
    </row>
    <row r="19" spans="1:8">
      <c r="A19" s="195"/>
      <c r="B19" s="993"/>
      <c r="C19" s="994"/>
      <c r="D19" s="995"/>
      <c r="E19" s="951"/>
      <c r="F19" s="938"/>
      <c r="G19" s="953"/>
      <c r="H19" s="985"/>
    </row>
    <row r="20" spans="1:8">
      <c r="A20" s="195"/>
      <c r="B20" s="441" t="s">
        <v>55</v>
      </c>
      <c r="C20" s="942"/>
      <c r="D20" s="943"/>
      <c r="E20" s="442"/>
      <c r="F20" s="442"/>
      <c r="G20" s="443"/>
      <c r="H20" s="444"/>
    </row>
    <row r="21" spans="1:8">
      <c r="A21" s="195"/>
      <c r="B21" s="441" t="s">
        <v>56</v>
      </c>
      <c r="C21" s="942"/>
      <c r="D21" s="943"/>
      <c r="E21" s="442"/>
      <c r="F21" s="442"/>
      <c r="G21" s="443"/>
      <c r="H21" s="444"/>
    </row>
    <row r="22" spans="1:8">
      <c r="A22" s="195"/>
      <c r="B22" s="441" t="s">
        <v>57</v>
      </c>
      <c r="C22" s="942"/>
      <c r="D22" s="943"/>
      <c r="E22" s="442"/>
      <c r="F22" s="442"/>
      <c r="G22" s="443"/>
      <c r="H22" s="444"/>
    </row>
    <row r="23" spans="1:8">
      <c r="A23" s="195"/>
      <c r="B23" s="441" t="s">
        <v>58</v>
      </c>
      <c r="C23" s="942"/>
      <c r="D23" s="943"/>
      <c r="E23" s="442"/>
      <c r="F23" s="442"/>
      <c r="G23" s="443"/>
      <c r="H23" s="444"/>
    </row>
    <row r="24" spans="1:8">
      <c r="A24" s="195"/>
      <c r="B24" s="441" t="s">
        <v>59</v>
      </c>
      <c r="C24" s="942"/>
      <c r="D24" s="943"/>
      <c r="E24" s="442"/>
      <c r="F24" s="442"/>
      <c r="G24" s="443"/>
      <c r="H24" s="444"/>
    </row>
    <row r="25" spans="1:8" ht="12.75" customHeight="1">
      <c r="A25" s="195"/>
      <c r="B25" s="981" t="s">
        <v>523</v>
      </c>
      <c r="C25" s="982"/>
      <c r="D25" s="982"/>
      <c r="E25" s="982"/>
      <c r="F25" s="982"/>
      <c r="G25" s="982"/>
      <c r="H25" s="983"/>
    </row>
    <row r="26" spans="1:8" ht="12.75" customHeight="1">
      <c r="A26" s="195"/>
      <c r="B26" s="990" t="s">
        <v>82</v>
      </c>
      <c r="C26" s="991"/>
      <c r="D26" s="992"/>
      <c r="E26" s="950" t="s">
        <v>83</v>
      </c>
      <c r="F26" s="937" t="s">
        <v>620</v>
      </c>
      <c r="G26" s="952" t="s">
        <v>84</v>
      </c>
      <c r="H26" s="984" t="s">
        <v>91</v>
      </c>
    </row>
    <row r="27" spans="1:8">
      <c r="A27" s="195"/>
      <c r="B27" s="993"/>
      <c r="C27" s="994"/>
      <c r="D27" s="995"/>
      <c r="E27" s="951"/>
      <c r="F27" s="938"/>
      <c r="G27" s="953"/>
      <c r="H27" s="985"/>
    </row>
    <row r="28" spans="1:8">
      <c r="A28" s="195"/>
      <c r="B28" s="65" t="s">
        <v>55</v>
      </c>
      <c r="C28" s="942"/>
      <c r="D28" s="943"/>
      <c r="E28" s="442"/>
      <c r="F28" s="442"/>
      <c r="G28" s="443"/>
      <c r="H28" s="444"/>
    </row>
    <row r="29" spans="1:8">
      <c r="A29" s="195"/>
      <c r="B29" s="65" t="s">
        <v>56</v>
      </c>
      <c r="C29" s="942"/>
      <c r="D29" s="943"/>
      <c r="E29" s="442"/>
      <c r="F29" s="442"/>
      <c r="G29" s="443"/>
      <c r="H29" s="444"/>
    </row>
    <row r="30" spans="1:8">
      <c r="A30" s="195"/>
      <c r="B30" s="65" t="s">
        <v>57</v>
      </c>
      <c r="C30" s="942"/>
      <c r="D30" s="943"/>
      <c r="E30" s="442"/>
      <c r="F30" s="442"/>
      <c r="G30" s="443"/>
      <c r="H30" s="444"/>
    </row>
    <row r="31" spans="1:8">
      <c r="A31" s="195"/>
      <c r="B31" s="65" t="s">
        <v>58</v>
      </c>
      <c r="C31" s="942"/>
      <c r="D31" s="943"/>
      <c r="E31" s="442"/>
      <c r="F31" s="442"/>
      <c r="G31" s="443"/>
      <c r="H31" s="444"/>
    </row>
    <row r="32" spans="1:8" ht="13.5" thickBot="1">
      <c r="A32" s="195"/>
      <c r="B32" s="65" t="s">
        <v>59</v>
      </c>
      <c r="C32" s="942"/>
      <c r="D32" s="943"/>
      <c r="E32" s="442"/>
      <c r="F32" s="442"/>
      <c r="G32" s="443"/>
      <c r="H32" s="444"/>
    </row>
    <row r="33" spans="1:8" ht="27" customHeight="1">
      <c r="A33" s="195"/>
      <c r="B33" s="988" t="s">
        <v>48</v>
      </c>
      <c r="C33" s="989"/>
      <c r="D33" s="939"/>
      <c r="E33" s="940"/>
      <c r="F33" s="940"/>
      <c r="G33" s="940"/>
      <c r="H33" s="941"/>
    </row>
    <row r="34" spans="1:8">
      <c r="B34" s="59"/>
      <c r="H34" s="60"/>
    </row>
    <row r="35" spans="1:8" ht="13.5" thickBot="1">
      <c r="B35" s="978" t="s">
        <v>4</v>
      </c>
      <c r="C35" s="979"/>
      <c r="D35" s="979"/>
      <c r="E35" s="979"/>
      <c r="F35" s="979"/>
      <c r="G35" s="979"/>
      <c r="H35" s="980"/>
    </row>
  </sheetData>
  <sheetProtection password="C288" sheet="1"/>
  <mergeCells count="49">
    <mergeCell ref="C30:D30"/>
    <mergeCell ref="C31:D31"/>
    <mergeCell ref="H18:H19"/>
    <mergeCell ref="F18:F19"/>
    <mergeCell ref="G4:H4"/>
    <mergeCell ref="B33:C33"/>
    <mergeCell ref="B18:D19"/>
    <mergeCell ref="C20:D20"/>
    <mergeCell ref="B26:D27"/>
    <mergeCell ref="C21:D21"/>
    <mergeCell ref="B35:H35"/>
    <mergeCell ref="B25:H25"/>
    <mergeCell ref="E26:E27"/>
    <mergeCell ref="G26:G27"/>
    <mergeCell ref="H26:H27"/>
    <mergeCell ref="B4:B5"/>
    <mergeCell ref="F8:H8"/>
    <mergeCell ref="F9:H9"/>
    <mergeCell ref="F10:H10"/>
    <mergeCell ref="F11:H11"/>
    <mergeCell ref="B2:C2"/>
    <mergeCell ref="B3:H3"/>
    <mergeCell ref="F12:H12"/>
    <mergeCell ref="F13:H13"/>
    <mergeCell ref="F15:H15"/>
    <mergeCell ref="F7:H7"/>
    <mergeCell ref="D5:H5"/>
    <mergeCell ref="B6:B15"/>
    <mergeCell ref="C6:E6"/>
    <mergeCell ref="F14:H14"/>
    <mergeCell ref="C22:D22"/>
    <mergeCell ref="C23:D23"/>
    <mergeCell ref="C8:D8"/>
    <mergeCell ref="C9:D9"/>
    <mergeCell ref="C10:D10"/>
    <mergeCell ref="C11:D11"/>
    <mergeCell ref="C12:D12"/>
    <mergeCell ref="C13:D13"/>
    <mergeCell ref="C14:D14"/>
    <mergeCell ref="F26:F27"/>
    <mergeCell ref="D33:H33"/>
    <mergeCell ref="C24:D24"/>
    <mergeCell ref="C28:D28"/>
    <mergeCell ref="C29:D29"/>
    <mergeCell ref="C16:H16"/>
    <mergeCell ref="B17:H17"/>
    <mergeCell ref="E18:E19"/>
    <mergeCell ref="G18:G19"/>
    <mergeCell ref="C32:D32"/>
  </mergeCells>
  <dataValidations count="6">
    <dataValidation type="list" allowBlank="1" showInputMessage="1" showErrorMessage="1" sqref="H20:H24">
      <formula1>State</formula1>
    </dataValidation>
    <dataValidation type="list" allowBlank="1" showInputMessage="1" showErrorMessage="1" sqref="H28:H32">
      <formula1>Foreign</formula1>
    </dataValidation>
    <dataValidation type="list" allowBlank="1" showInputMessage="1" showErrorMessage="1" sqref="E28:E32 E20:E24">
      <formula1>CustomerType</formula1>
    </dataValidation>
    <dataValidation type="list" allowBlank="1" showInputMessage="1" showErrorMessage="1" sqref="F20:F24 F28:F32">
      <formula1>PrimaryEndUse</formula1>
    </dataValidation>
    <dataValidation type="list" allowBlank="1" showInputMessage="1" showErrorMessage="1" sqref="G4:H4">
      <formula1>PrimaryBusOpp</formula1>
    </dataValidation>
    <dataValidation type="list" allowBlank="1" showInputMessage="1" showErrorMessage="1" sqref="E8:E15">
      <formula1>YesNo</formula1>
    </dataValidation>
  </dataValidations>
  <hyperlinks>
    <hyperlink ref="B2:C2" location="'2'!A1" tooltip="Mergers, Acquisitions, Divestitures, and Joint Ventures" display="Previous Page"/>
    <hyperlink ref="E2" location="'Table of Contents'!A1" tooltip="Table of Contents" display="Table of Contents"/>
    <hyperlink ref="H2" location="'3b'!A1" tooltip="Competitors" display="Next Page"/>
  </hyperlinks>
  <pageMargins left="0.25" right="0.25" top="0.75" bottom="0.75" header="0.3" footer="0.3"/>
  <pageSetup scale="83" orientation="landscape" cellComments="atEnd" r:id="rId1"/>
  <headerFooter>
    <oddHeader>&amp;F</oddHeader>
    <oddFooter>Page &amp;P of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showRowColHeaders="0" zoomScaleNormal="100" workbookViewId="0"/>
  </sheetViews>
  <sheetFormatPr defaultRowHeight="12.75"/>
  <cols>
    <col min="1" max="1" width="8.5703125" style="86" customWidth="1"/>
    <col min="2" max="2" width="3.7109375" style="86" customWidth="1"/>
    <col min="3" max="3" width="3.5703125" style="86" customWidth="1"/>
    <col min="4" max="4" width="11" style="86" customWidth="1"/>
    <col min="5" max="5" width="17.140625" style="86" customWidth="1"/>
    <col min="6" max="6" width="16.7109375" style="86" customWidth="1"/>
    <col min="7" max="7" width="16" style="86" customWidth="1"/>
    <col min="8" max="8" width="13" style="86" customWidth="1"/>
    <col min="9" max="9" width="13.85546875" style="86" customWidth="1"/>
    <col min="10" max="10" width="7.140625" style="86" customWidth="1"/>
    <col min="11" max="11" width="14" style="86" customWidth="1"/>
    <col min="12" max="12" width="13.42578125" style="86" customWidth="1"/>
    <col min="13" max="13" width="13.5703125" style="86" customWidth="1"/>
    <col min="14" max="14" width="10.7109375" style="86" customWidth="1"/>
    <col min="15" max="16384" width="9.140625" style="86"/>
  </cols>
  <sheetData>
    <row r="1" spans="1:15" ht="13.5" customHeight="1" thickBot="1">
      <c r="A1" s="192"/>
      <c r="B1" s="193"/>
      <c r="C1" s="193"/>
      <c r="D1" s="193"/>
      <c r="E1" s="193"/>
      <c r="F1" s="193"/>
      <c r="G1" s="193"/>
      <c r="H1" s="193"/>
      <c r="I1" s="193"/>
      <c r="J1" s="193"/>
      <c r="K1" s="193"/>
      <c r="L1" s="193"/>
      <c r="M1" s="193"/>
    </row>
    <row r="2" spans="1:15" ht="13.5" customHeight="1" thickBot="1">
      <c r="A2" s="193"/>
      <c r="B2" s="655" t="s">
        <v>487</v>
      </c>
      <c r="C2" s="656"/>
      <c r="D2" s="656"/>
      <c r="E2" s="183"/>
      <c r="F2" s="657" t="s">
        <v>1204</v>
      </c>
      <c r="G2" s="657"/>
      <c r="H2" s="657"/>
      <c r="I2" s="657"/>
      <c r="J2" s="657"/>
      <c r="K2" s="657"/>
      <c r="L2" s="194"/>
      <c r="M2" s="113" t="s">
        <v>486</v>
      </c>
    </row>
    <row r="3" spans="1:15" ht="13.5" customHeight="1" thickBot="1">
      <c r="A3" s="193"/>
      <c r="B3" s="996" t="s">
        <v>632</v>
      </c>
      <c r="C3" s="997"/>
      <c r="D3" s="997"/>
      <c r="E3" s="997"/>
      <c r="F3" s="997"/>
      <c r="G3" s="997"/>
      <c r="H3" s="997"/>
      <c r="I3" s="997"/>
      <c r="J3" s="997"/>
      <c r="K3" s="997"/>
      <c r="L3" s="997"/>
      <c r="M3" s="998"/>
    </row>
    <row r="4" spans="1:15" ht="23.25" customHeight="1">
      <c r="A4" s="193"/>
      <c r="B4" s="1001" t="s">
        <v>5</v>
      </c>
      <c r="C4" s="1023" t="s">
        <v>918</v>
      </c>
      <c r="D4" s="1039"/>
      <c r="E4" s="1039"/>
      <c r="F4" s="1039"/>
      <c r="G4" s="1039"/>
      <c r="H4" s="1039"/>
      <c r="I4" s="1039"/>
      <c r="J4" s="1039"/>
      <c r="K4" s="1039"/>
      <c r="L4" s="1039"/>
      <c r="M4" s="1040"/>
    </row>
    <row r="5" spans="1:15" ht="30" customHeight="1">
      <c r="A5" s="193"/>
      <c r="B5" s="1002"/>
      <c r="C5" s="1046" t="s">
        <v>646</v>
      </c>
      <c r="D5" s="1047"/>
      <c r="E5" s="1048"/>
      <c r="F5" s="315" t="s">
        <v>647</v>
      </c>
      <c r="G5" s="1009" t="s">
        <v>468</v>
      </c>
      <c r="H5" s="1010"/>
      <c r="I5" s="1010"/>
      <c r="J5" s="1010"/>
      <c r="K5" s="1010"/>
      <c r="L5" s="1010"/>
      <c r="M5" s="1011"/>
    </row>
    <row r="6" spans="1:15" ht="12.75" customHeight="1">
      <c r="A6" s="193"/>
      <c r="B6" s="1002"/>
      <c r="C6" s="1018" t="s">
        <v>1364</v>
      </c>
      <c r="D6" s="1019"/>
      <c r="E6" s="1019"/>
      <c r="F6" s="445"/>
      <c r="G6" s="999"/>
      <c r="H6" s="999"/>
      <c r="I6" s="999"/>
      <c r="J6" s="999"/>
      <c r="K6" s="999"/>
      <c r="L6" s="999"/>
      <c r="M6" s="1000"/>
    </row>
    <row r="7" spans="1:15" ht="12.75" customHeight="1">
      <c r="A7" s="193"/>
      <c r="B7" s="1002"/>
      <c r="C7" s="1014" t="s">
        <v>633</v>
      </c>
      <c r="D7" s="1015"/>
      <c r="E7" s="1015"/>
      <c r="F7" s="445"/>
      <c r="G7" s="999"/>
      <c r="H7" s="999"/>
      <c r="I7" s="999"/>
      <c r="J7" s="999"/>
      <c r="K7" s="999"/>
      <c r="L7" s="999"/>
      <c r="M7" s="1000"/>
    </row>
    <row r="8" spans="1:15" ht="12.75" customHeight="1">
      <c r="A8" s="193"/>
      <c r="B8" s="1002"/>
      <c r="C8" s="1016" t="s">
        <v>634</v>
      </c>
      <c r="D8" s="1017"/>
      <c r="E8" s="1017"/>
      <c r="F8" s="445"/>
      <c r="G8" s="999"/>
      <c r="H8" s="999"/>
      <c r="I8" s="999"/>
      <c r="J8" s="999"/>
      <c r="K8" s="999"/>
      <c r="L8" s="999"/>
      <c r="M8" s="1000"/>
      <c r="O8" s="87"/>
    </row>
    <row r="9" spans="1:15" ht="12.75" customHeight="1">
      <c r="A9" s="193"/>
      <c r="B9" s="1002"/>
      <c r="C9" s="1014" t="s">
        <v>635</v>
      </c>
      <c r="D9" s="1015"/>
      <c r="E9" s="1015"/>
      <c r="F9" s="445"/>
      <c r="G9" s="999"/>
      <c r="H9" s="999"/>
      <c r="I9" s="999"/>
      <c r="J9" s="999"/>
      <c r="K9" s="999"/>
      <c r="L9" s="999"/>
      <c r="M9" s="1000"/>
    </row>
    <row r="10" spans="1:15" ht="12.75" customHeight="1">
      <c r="A10" s="193"/>
      <c r="B10" s="1002"/>
      <c r="C10" s="1014" t="s">
        <v>636</v>
      </c>
      <c r="D10" s="1015"/>
      <c r="E10" s="1015"/>
      <c r="F10" s="445"/>
      <c r="G10" s="999"/>
      <c r="H10" s="999"/>
      <c r="I10" s="999"/>
      <c r="J10" s="999"/>
      <c r="K10" s="999"/>
      <c r="L10" s="999"/>
      <c r="M10" s="1000"/>
      <c r="O10" s="87"/>
    </row>
    <row r="11" spans="1:15" ht="12.75" customHeight="1">
      <c r="A11" s="193"/>
      <c r="B11" s="1002"/>
      <c r="C11" s="1018" t="s">
        <v>637</v>
      </c>
      <c r="D11" s="1019"/>
      <c r="E11" s="1019"/>
      <c r="F11" s="445"/>
      <c r="G11" s="999"/>
      <c r="H11" s="999"/>
      <c r="I11" s="999"/>
      <c r="J11" s="999"/>
      <c r="K11" s="999"/>
      <c r="L11" s="999"/>
      <c r="M11" s="1000"/>
      <c r="O11" s="87"/>
    </row>
    <row r="12" spans="1:15" ht="12.75" customHeight="1">
      <c r="A12" s="193"/>
      <c r="B12" s="1002"/>
      <c r="C12" s="1014" t="s">
        <v>638</v>
      </c>
      <c r="D12" s="1015"/>
      <c r="E12" s="1015"/>
      <c r="F12" s="445"/>
      <c r="G12" s="999"/>
      <c r="H12" s="999"/>
      <c r="I12" s="999"/>
      <c r="J12" s="999"/>
      <c r="K12" s="999"/>
      <c r="L12" s="999"/>
      <c r="M12" s="1000"/>
      <c r="O12" s="87"/>
    </row>
    <row r="13" spans="1:15" ht="12.75" customHeight="1">
      <c r="A13" s="193"/>
      <c r="B13" s="1002"/>
      <c r="C13" s="1014" t="s">
        <v>639</v>
      </c>
      <c r="D13" s="1015"/>
      <c r="E13" s="1015"/>
      <c r="F13" s="445"/>
      <c r="G13" s="999"/>
      <c r="H13" s="999"/>
      <c r="I13" s="999"/>
      <c r="J13" s="999"/>
      <c r="K13" s="999"/>
      <c r="L13" s="999"/>
      <c r="M13" s="1000"/>
      <c r="O13" s="87"/>
    </row>
    <row r="14" spans="1:15" ht="12.75" customHeight="1">
      <c r="A14" s="193"/>
      <c r="B14" s="1002"/>
      <c r="C14" s="1016" t="s">
        <v>640</v>
      </c>
      <c r="D14" s="1017"/>
      <c r="E14" s="1017"/>
      <c r="F14" s="445"/>
      <c r="G14" s="999"/>
      <c r="H14" s="999"/>
      <c r="I14" s="999"/>
      <c r="J14" s="999"/>
      <c r="K14" s="999"/>
      <c r="L14" s="999"/>
      <c r="M14" s="1000"/>
    </row>
    <row r="15" spans="1:15" ht="12.75" customHeight="1">
      <c r="A15" s="193"/>
      <c r="B15" s="1002"/>
      <c r="C15" s="1018" t="s">
        <v>641</v>
      </c>
      <c r="D15" s="1019"/>
      <c r="E15" s="1019"/>
      <c r="F15" s="445"/>
      <c r="G15" s="999"/>
      <c r="H15" s="999"/>
      <c r="I15" s="999"/>
      <c r="J15" s="999"/>
      <c r="K15" s="999"/>
      <c r="L15" s="999"/>
      <c r="M15" s="1000"/>
    </row>
    <row r="16" spans="1:15" ht="12.75" customHeight="1">
      <c r="A16" s="193"/>
      <c r="B16" s="1002"/>
      <c r="C16" s="1018" t="s">
        <v>642</v>
      </c>
      <c r="D16" s="1019"/>
      <c r="E16" s="1019"/>
      <c r="F16" s="445"/>
      <c r="G16" s="999"/>
      <c r="H16" s="999"/>
      <c r="I16" s="999"/>
      <c r="J16" s="999"/>
      <c r="K16" s="999"/>
      <c r="L16" s="999"/>
      <c r="M16" s="1000"/>
    </row>
    <row r="17" spans="1:13" ht="12.75" customHeight="1">
      <c r="A17" s="193"/>
      <c r="B17" s="1002"/>
      <c r="C17" s="1018" t="s">
        <v>1365</v>
      </c>
      <c r="D17" s="1019"/>
      <c r="E17" s="1019"/>
      <c r="F17" s="445"/>
      <c r="G17" s="999"/>
      <c r="H17" s="999"/>
      <c r="I17" s="999"/>
      <c r="J17" s="999"/>
      <c r="K17" s="999"/>
      <c r="L17" s="999"/>
      <c r="M17" s="1000"/>
    </row>
    <row r="18" spans="1:13" ht="12.75" customHeight="1">
      <c r="A18" s="193"/>
      <c r="B18" s="1002"/>
      <c r="C18" s="1018" t="s">
        <v>643</v>
      </c>
      <c r="D18" s="1019"/>
      <c r="E18" s="1019"/>
      <c r="F18" s="445"/>
      <c r="G18" s="999"/>
      <c r="H18" s="999"/>
      <c r="I18" s="999"/>
      <c r="J18" s="999"/>
      <c r="K18" s="999"/>
      <c r="L18" s="999"/>
      <c r="M18" s="1000"/>
    </row>
    <row r="19" spans="1:13" ht="12.75" customHeight="1">
      <c r="A19" s="193"/>
      <c r="B19" s="1002"/>
      <c r="C19" s="1014" t="s">
        <v>644</v>
      </c>
      <c r="D19" s="1015"/>
      <c r="E19" s="1015"/>
      <c r="F19" s="445"/>
      <c r="G19" s="999"/>
      <c r="H19" s="999"/>
      <c r="I19" s="999"/>
      <c r="J19" s="999"/>
      <c r="K19" s="999"/>
      <c r="L19" s="999"/>
      <c r="M19" s="1000"/>
    </row>
    <row r="20" spans="1:13" ht="12.75" customHeight="1">
      <c r="A20" s="193"/>
      <c r="B20" s="1002"/>
      <c r="C20" s="1014" t="s">
        <v>917</v>
      </c>
      <c r="D20" s="1015"/>
      <c r="E20" s="1015"/>
      <c r="F20" s="445"/>
      <c r="G20" s="999"/>
      <c r="H20" s="999"/>
      <c r="I20" s="999"/>
      <c r="J20" s="999"/>
      <c r="K20" s="999"/>
      <c r="L20" s="999"/>
      <c r="M20" s="1000"/>
    </row>
    <row r="21" spans="1:13" ht="12.75" customHeight="1">
      <c r="A21" s="193"/>
      <c r="B21" s="1002"/>
      <c r="C21" s="1016" t="s">
        <v>645</v>
      </c>
      <c r="D21" s="1017"/>
      <c r="E21" s="1017"/>
      <c r="F21" s="445"/>
      <c r="G21" s="999"/>
      <c r="H21" s="999"/>
      <c r="I21" s="999"/>
      <c r="J21" s="999"/>
      <c r="K21" s="999"/>
      <c r="L21" s="999"/>
      <c r="M21" s="1000"/>
    </row>
    <row r="22" spans="1:13" ht="12.75" customHeight="1">
      <c r="A22" s="193"/>
      <c r="B22" s="1002"/>
      <c r="C22" s="1018" t="s">
        <v>107</v>
      </c>
      <c r="D22" s="1019"/>
      <c r="E22" s="447" t="s">
        <v>405</v>
      </c>
      <c r="F22" s="445"/>
      <c r="G22" s="999"/>
      <c r="H22" s="999"/>
      <c r="I22" s="999"/>
      <c r="J22" s="999"/>
      <c r="K22" s="999"/>
      <c r="L22" s="999"/>
      <c r="M22" s="1000"/>
    </row>
    <row r="23" spans="1:13" ht="12.75" customHeight="1" thickBot="1">
      <c r="A23" s="193"/>
      <c r="B23" s="1003"/>
      <c r="C23" s="1031" t="s">
        <v>107</v>
      </c>
      <c r="D23" s="1032"/>
      <c r="E23" s="448" t="s">
        <v>405</v>
      </c>
      <c r="F23" s="446"/>
      <c r="G23" s="1012"/>
      <c r="H23" s="1012"/>
      <c r="I23" s="1012"/>
      <c r="J23" s="1012"/>
      <c r="K23" s="1012"/>
      <c r="L23" s="1012"/>
      <c r="M23" s="1013"/>
    </row>
    <row r="24" spans="1:13" ht="23.25" customHeight="1">
      <c r="A24" s="193"/>
      <c r="B24" s="1001" t="s">
        <v>6</v>
      </c>
      <c r="C24" s="1023" t="s">
        <v>1127</v>
      </c>
      <c r="D24" s="1024"/>
      <c r="E24" s="1024"/>
      <c r="F24" s="1024"/>
      <c r="G24" s="1024"/>
      <c r="H24" s="1024"/>
      <c r="I24" s="1024"/>
      <c r="J24" s="1024"/>
      <c r="K24" s="1024"/>
      <c r="L24" s="1024"/>
      <c r="M24" s="1025"/>
    </row>
    <row r="25" spans="1:13" ht="12.75" customHeight="1">
      <c r="A25" s="193"/>
      <c r="B25" s="1002"/>
      <c r="C25" s="1026" t="s">
        <v>895</v>
      </c>
      <c r="D25" s="1027"/>
      <c r="E25" s="1027"/>
      <c r="F25" s="1027"/>
      <c r="G25" s="1027"/>
      <c r="H25" s="1027"/>
      <c r="I25" s="1027"/>
      <c r="J25" s="1027"/>
      <c r="K25" s="1027"/>
      <c r="L25" s="1027"/>
      <c r="M25" s="1028"/>
    </row>
    <row r="26" spans="1:13" ht="12.75" customHeight="1">
      <c r="A26" s="193"/>
      <c r="B26" s="1002"/>
      <c r="C26" s="312"/>
      <c r="D26" s="1029" t="s">
        <v>648</v>
      </c>
      <c r="E26" s="1029"/>
      <c r="F26" s="149" t="s">
        <v>38</v>
      </c>
      <c r="G26" s="1009" t="s">
        <v>649</v>
      </c>
      <c r="H26" s="1033"/>
      <c r="I26" s="1029" t="s">
        <v>468</v>
      </c>
      <c r="J26" s="1029"/>
      <c r="K26" s="1029"/>
      <c r="L26" s="1029"/>
      <c r="M26" s="1030"/>
    </row>
    <row r="27" spans="1:13" ht="27" customHeight="1">
      <c r="A27" s="193"/>
      <c r="B27" s="1002"/>
      <c r="C27" s="313">
        <v>1</v>
      </c>
      <c r="D27" s="1020"/>
      <c r="E27" s="1020"/>
      <c r="F27" s="447"/>
      <c r="G27" s="1020"/>
      <c r="H27" s="1020"/>
      <c r="I27" s="1021"/>
      <c r="J27" s="1021"/>
      <c r="K27" s="1021"/>
      <c r="L27" s="1021"/>
      <c r="M27" s="1022"/>
    </row>
    <row r="28" spans="1:13" ht="27" customHeight="1">
      <c r="A28" s="193"/>
      <c r="B28" s="1002"/>
      <c r="C28" s="313">
        <v>2</v>
      </c>
      <c r="D28" s="1020"/>
      <c r="E28" s="1020"/>
      <c r="F28" s="447"/>
      <c r="G28" s="1020"/>
      <c r="H28" s="1020"/>
      <c r="I28" s="1021"/>
      <c r="J28" s="1021"/>
      <c r="K28" s="1021"/>
      <c r="L28" s="1021"/>
      <c r="M28" s="1022"/>
    </row>
    <row r="29" spans="1:13" ht="27" customHeight="1">
      <c r="A29" s="193"/>
      <c r="B29" s="1002"/>
      <c r="C29" s="313">
        <v>3</v>
      </c>
      <c r="D29" s="1020"/>
      <c r="E29" s="1020"/>
      <c r="F29" s="447"/>
      <c r="G29" s="1020"/>
      <c r="H29" s="1020"/>
      <c r="I29" s="1021"/>
      <c r="J29" s="1021"/>
      <c r="K29" s="1021"/>
      <c r="L29" s="1021"/>
      <c r="M29" s="1022"/>
    </row>
    <row r="30" spans="1:13" ht="27" customHeight="1">
      <c r="A30" s="193"/>
      <c r="B30" s="1002"/>
      <c r="C30" s="313">
        <v>4</v>
      </c>
      <c r="D30" s="1020"/>
      <c r="E30" s="1020"/>
      <c r="F30" s="447"/>
      <c r="G30" s="1020"/>
      <c r="H30" s="1020"/>
      <c r="I30" s="1021"/>
      <c r="J30" s="1021"/>
      <c r="K30" s="1021"/>
      <c r="L30" s="1021"/>
      <c r="M30" s="1022"/>
    </row>
    <row r="31" spans="1:13" ht="27" customHeight="1">
      <c r="A31" s="193"/>
      <c r="B31" s="1002"/>
      <c r="C31" s="147">
        <v>5</v>
      </c>
      <c r="D31" s="1020"/>
      <c r="E31" s="1020"/>
      <c r="F31" s="447"/>
      <c r="G31" s="1020"/>
      <c r="H31" s="1020"/>
      <c r="I31" s="1021"/>
      <c r="J31" s="1021"/>
      <c r="K31" s="1021"/>
      <c r="L31" s="1021"/>
      <c r="M31" s="1022"/>
    </row>
    <row r="32" spans="1:13" ht="12.75" customHeight="1">
      <c r="A32" s="193"/>
      <c r="B32" s="1002"/>
      <c r="C32" s="1026" t="s">
        <v>896</v>
      </c>
      <c r="D32" s="1034"/>
      <c r="E32" s="1034"/>
      <c r="F32" s="1034"/>
      <c r="G32" s="1034"/>
      <c r="H32" s="1034"/>
      <c r="I32" s="1034"/>
      <c r="J32" s="1034"/>
      <c r="K32" s="1034"/>
      <c r="L32" s="1034"/>
      <c r="M32" s="1035"/>
    </row>
    <row r="33" spans="1:13" ht="12.75" customHeight="1">
      <c r="A33" s="193"/>
      <c r="B33" s="1002"/>
      <c r="C33" s="146"/>
      <c r="D33" s="1029" t="s">
        <v>648</v>
      </c>
      <c r="E33" s="1029"/>
      <c r="F33" s="314" t="s">
        <v>42</v>
      </c>
      <c r="G33" s="1029" t="s">
        <v>649</v>
      </c>
      <c r="H33" s="1029"/>
      <c r="I33" s="1029" t="s">
        <v>468</v>
      </c>
      <c r="J33" s="1029"/>
      <c r="K33" s="1029"/>
      <c r="L33" s="1029"/>
      <c r="M33" s="1030"/>
    </row>
    <row r="34" spans="1:13" ht="27" customHeight="1">
      <c r="A34" s="193"/>
      <c r="B34" s="1002"/>
      <c r="C34" s="150">
        <v>1</v>
      </c>
      <c r="D34" s="1020"/>
      <c r="E34" s="1020"/>
      <c r="F34" s="447"/>
      <c r="G34" s="1020"/>
      <c r="H34" s="1020"/>
      <c r="I34" s="1021"/>
      <c r="J34" s="1021"/>
      <c r="K34" s="1021"/>
      <c r="L34" s="1021"/>
      <c r="M34" s="1022"/>
    </row>
    <row r="35" spans="1:13" ht="27" customHeight="1">
      <c r="A35" s="193"/>
      <c r="B35" s="1002"/>
      <c r="C35" s="150">
        <v>2</v>
      </c>
      <c r="D35" s="1020"/>
      <c r="E35" s="1020"/>
      <c r="F35" s="447"/>
      <c r="G35" s="1020"/>
      <c r="H35" s="1020"/>
      <c r="I35" s="1021"/>
      <c r="J35" s="1021"/>
      <c r="K35" s="1021"/>
      <c r="L35" s="1021"/>
      <c r="M35" s="1022"/>
    </row>
    <row r="36" spans="1:13" ht="27" customHeight="1">
      <c r="A36" s="193"/>
      <c r="B36" s="1002"/>
      <c r="C36" s="150">
        <v>3</v>
      </c>
      <c r="D36" s="1020"/>
      <c r="E36" s="1020"/>
      <c r="F36" s="447"/>
      <c r="G36" s="1020"/>
      <c r="H36" s="1020"/>
      <c r="I36" s="1021"/>
      <c r="J36" s="1021"/>
      <c r="K36" s="1021"/>
      <c r="L36" s="1021"/>
      <c r="M36" s="1022"/>
    </row>
    <row r="37" spans="1:13" ht="27" customHeight="1">
      <c r="A37" s="193"/>
      <c r="B37" s="1002"/>
      <c r="C37" s="313">
        <v>4</v>
      </c>
      <c r="D37" s="1020"/>
      <c r="E37" s="1020"/>
      <c r="F37" s="447"/>
      <c r="G37" s="1020"/>
      <c r="H37" s="1020"/>
      <c r="I37" s="1021"/>
      <c r="J37" s="1021"/>
      <c r="K37" s="1021"/>
      <c r="L37" s="1021"/>
      <c r="M37" s="1022"/>
    </row>
    <row r="38" spans="1:13" ht="27" customHeight="1" thickBot="1">
      <c r="A38" s="193"/>
      <c r="B38" s="1003"/>
      <c r="C38" s="148">
        <v>5</v>
      </c>
      <c r="D38" s="1036"/>
      <c r="E38" s="1036"/>
      <c r="F38" s="448"/>
      <c r="G38" s="1036"/>
      <c r="H38" s="1036"/>
      <c r="I38" s="1037"/>
      <c r="J38" s="1037"/>
      <c r="K38" s="1037"/>
      <c r="L38" s="1037"/>
      <c r="M38" s="1038"/>
    </row>
    <row r="39" spans="1:13" ht="30" customHeight="1">
      <c r="A39" s="193"/>
      <c r="B39" s="1041" t="s">
        <v>48</v>
      </c>
      <c r="C39" s="1042"/>
      <c r="D39" s="1043"/>
      <c r="E39" s="1044"/>
      <c r="F39" s="1044"/>
      <c r="G39" s="1044"/>
      <c r="H39" s="1044"/>
      <c r="I39" s="1044"/>
      <c r="J39" s="1044"/>
      <c r="K39" s="1044"/>
      <c r="L39" s="1044"/>
      <c r="M39" s="1045"/>
    </row>
    <row r="40" spans="1:13">
      <c r="B40" s="1004"/>
      <c r="C40" s="1005"/>
      <c r="D40" s="31"/>
      <c r="E40" s="31"/>
      <c r="F40" s="88"/>
      <c r="G40" s="88"/>
      <c r="H40" s="33"/>
      <c r="I40" s="33"/>
      <c r="J40" s="88"/>
      <c r="K40" s="88"/>
      <c r="L40" s="88"/>
      <c r="M40" s="34"/>
    </row>
    <row r="41" spans="1:13" ht="13.5" thickBot="1">
      <c r="B41" s="1006" t="s">
        <v>4</v>
      </c>
      <c r="C41" s="1007"/>
      <c r="D41" s="1007"/>
      <c r="E41" s="1007"/>
      <c r="F41" s="1007"/>
      <c r="G41" s="1007"/>
      <c r="H41" s="1007"/>
      <c r="I41" s="1007"/>
      <c r="J41" s="1007"/>
      <c r="K41" s="1007"/>
      <c r="L41" s="1007"/>
      <c r="M41" s="1008"/>
    </row>
  </sheetData>
  <sheetProtection password="C288" sheet="1"/>
  <mergeCells count="87">
    <mergeCell ref="C20:E20"/>
    <mergeCell ref="G20:M20"/>
    <mergeCell ref="B24:B38"/>
    <mergeCell ref="B39:D39"/>
    <mergeCell ref="E39:M39"/>
    <mergeCell ref="C5:E5"/>
    <mergeCell ref="C16:E16"/>
    <mergeCell ref="C17:E17"/>
    <mergeCell ref="C18:E18"/>
    <mergeCell ref="C19:E19"/>
    <mergeCell ref="C21:E21"/>
    <mergeCell ref="D38:E38"/>
    <mergeCell ref="G38:H38"/>
    <mergeCell ref="I38:M38"/>
    <mergeCell ref="C4:M4"/>
    <mergeCell ref="C6:E6"/>
    <mergeCell ref="C7:E7"/>
    <mergeCell ref="C8:E8"/>
    <mergeCell ref="C9:E9"/>
    <mergeCell ref="D37:E37"/>
    <mergeCell ref="G37:H37"/>
    <mergeCell ref="I37:M37"/>
    <mergeCell ref="I27:M27"/>
    <mergeCell ref="I34:M34"/>
    <mergeCell ref="D34:E34"/>
    <mergeCell ref="G34:H34"/>
    <mergeCell ref="D36:E36"/>
    <mergeCell ref="G36:H36"/>
    <mergeCell ref="I36:M36"/>
    <mergeCell ref="I30:M30"/>
    <mergeCell ref="C22:D22"/>
    <mergeCell ref="C23:D23"/>
    <mergeCell ref="D33:E33"/>
    <mergeCell ref="G33:H33"/>
    <mergeCell ref="G26:H26"/>
    <mergeCell ref="D26:E26"/>
    <mergeCell ref="D30:E30"/>
    <mergeCell ref="G30:H30"/>
    <mergeCell ref="C32:M32"/>
    <mergeCell ref="D29:E29"/>
    <mergeCell ref="G29:H29"/>
    <mergeCell ref="I29:M29"/>
    <mergeCell ref="D35:E35"/>
    <mergeCell ref="G35:H35"/>
    <mergeCell ref="I35:M35"/>
    <mergeCell ref="D31:E31"/>
    <mergeCell ref="G31:H31"/>
    <mergeCell ref="I31:M31"/>
    <mergeCell ref="I33:M33"/>
    <mergeCell ref="G17:M17"/>
    <mergeCell ref="G18:M18"/>
    <mergeCell ref="D28:E28"/>
    <mergeCell ref="G28:H28"/>
    <mergeCell ref="I28:M28"/>
    <mergeCell ref="C24:M24"/>
    <mergeCell ref="C25:M25"/>
    <mergeCell ref="I26:M26"/>
    <mergeCell ref="D27:E27"/>
    <mergeCell ref="G27:H27"/>
    <mergeCell ref="C15:E15"/>
    <mergeCell ref="G6:M6"/>
    <mergeCell ref="G13:M13"/>
    <mergeCell ref="G14:M14"/>
    <mergeCell ref="G15:M15"/>
    <mergeCell ref="G16:M16"/>
    <mergeCell ref="C10:E10"/>
    <mergeCell ref="C11:E11"/>
    <mergeCell ref="B40:C40"/>
    <mergeCell ref="B41:M41"/>
    <mergeCell ref="G5:M5"/>
    <mergeCell ref="G19:M19"/>
    <mergeCell ref="G21:M21"/>
    <mergeCell ref="G22:M22"/>
    <mergeCell ref="G23:M23"/>
    <mergeCell ref="C12:E12"/>
    <mergeCell ref="C13:E13"/>
    <mergeCell ref="C14:E14"/>
    <mergeCell ref="B3:M3"/>
    <mergeCell ref="B2:D2"/>
    <mergeCell ref="F2:K2"/>
    <mergeCell ref="G11:M11"/>
    <mergeCell ref="G12:M12"/>
    <mergeCell ref="G7:M7"/>
    <mergeCell ref="G8:M8"/>
    <mergeCell ref="G9:M9"/>
    <mergeCell ref="G10:M10"/>
    <mergeCell ref="B4:B23"/>
  </mergeCells>
  <dataValidations count="4">
    <dataValidation type="list" allowBlank="1" showInputMessage="1" showErrorMessage="1" sqref="F6:F23">
      <formula1>USNon</formula1>
    </dataValidation>
    <dataValidation type="list" allowBlank="1" showInputMessage="1" showErrorMessage="1" sqref="F27:F31">
      <formula1>State</formula1>
    </dataValidation>
    <dataValidation type="list" allowBlank="1" showInputMessage="1" showErrorMessage="1" sqref="F34:F38">
      <formula1>Country</formula1>
    </dataValidation>
    <dataValidation type="list" allowBlank="1" showInputMessage="1" showErrorMessage="1" sqref="G27:H31 G34:H38">
      <formula1>CompAdv</formula1>
    </dataValidation>
  </dataValidations>
  <hyperlinks>
    <hyperlink ref="B2:D2" location="'3a'!A1" tooltip="Customers" display="Previous Page"/>
    <hyperlink ref="F2:K2" location="'Table of Contents'!A1" tooltip="Table of Contents" display="Table of Contents"/>
    <hyperlink ref="M2" location="'4a'!A1" tooltip="Participation in USG Programs" display="Next Page"/>
  </hyperlinks>
  <pageMargins left="0.25" right="0.25" top="0.75" bottom="0.75" header="0.3" footer="0.3"/>
  <pageSetup scale="73" orientation="landscape" cellComments="atEnd" r:id="rId1"/>
  <headerFooter>
    <oddHeader>&amp;F</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87"/>
  <sheetViews>
    <sheetView showGridLines="0" showRowColHeaders="0" showWhiteSpace="0" zoomScaleNormal="100" workbookViewId="0"/>
  </sheetViews>
  <sheetFormatPr defaultColWidth="8.85546875" defaultRowHeight="12.75"/>
  <cols>
    <col min="1" max="1" width="8.5703125" style="62" customWidth="1"/>
    <col min="2" max="2" width="6.42578125" style="62" customWidth="1"/>
    <col min="3" max="3" width="29.140625" style="62" customWidth="1"/>
    <col min="4" max="4" width="18.140625" style="62" customWidth="1"/>
    <col min="5" max="5" width="30.140625" style="62" customWidth="1"/>
    <col min="6" max="6" width="19.140625" style="62" customWidth="1"/>
    <col min="7" max="7" width="8.42578125" style="62" customWidth="1"/>
    <col min="8" max="8" width="9.5703125" style="62" customWidth="1"/>
    <col min="9" max="10" width="18.85546875" style="62" customWidth="1"/>
    <col min="11" max="16384" width="8.85546875" style="62"/>
  </cols>
  <sheetData>
    <row r="1" spans="1:12" ht="13.5" customHeight="1" thickBot="1">
      <c r="A1" s="185"/>
      <c r="B1" s="185"/>
      <c r="C1" s="185"/>
      <c r="D1" s="185"/>
      <c r="E1" s="185"/>
      <c r="F1" s="185"/>
      <c r="G1" s="185"/>
      <c r="H1" s="185"/>
      <c r="I1" s="185"/>
      <c r="J1" s="185"/>
    </row>
    <row r="2" spans="1:12" ht="13.5" customHeight="1" thickBot="1">
      <c r="A2" s="185"/>
      <c r="B2" s="655" t="s">
        <v>487</v>
      </c>
      <c r="C2" s="656"/>
      <c r="D2" s="143"/>
      <c r="E2" s="657" t="s">
        <v>1204</v>
      </c>
      <c r="F2" s="657"/>
      <c r="G2" s="15"/>
      <c r="H2" s="15"/>
      <c r="I2" s="15"/>
      <c r="J2" s="113" t="s">
        <v>486</v>
      </c>
    </row>
    <row r="3" spans="1:12" ht="13.5" customHeight="1" thickBot="1">
      <c r="A3" s="185"/>
      <c r="B3" s="1072" t="s">
        <v>897</v>
      </c>
      <c r="C3" s="1073"/>
      <c r="D3" s="1073"/>
      <c r="E3" s="1073"/>
      <c r="F3" s="1073"/>
      <c r="G3" s="1073"/>
      <c r="H3" s="1073"/>
      <c r="I3" s="1073"/>
      <c r="J3" s="1074"/>
    </row>
    <row r="4" spans="1:12" ht="30" customHeight="1" thickBot="1">
      <c r="A4" s="185"/>
      <c r="B4" s="1058" t="s">
        <v>609</v>
      </c>
      <c r="C4" s="1059"/>
      <c r="D4" s="1059"/>
      <c r="E4" s="1059"/>
      <c r="F4" s="1059"/>
      <c r="G4" s="1059"/>
      <c r="H4" s="1059"/>
      <c r="I4" s="1059"/>
      <c r="J4" s="1060"/>
    </row>
    <row r="5" spans="1:12" ht="30" customHeight="1">
      <c r="A5" s="185"/>
      <c r="B5" s="1061" t="s">
        <v>5</v>
      </c>
      <c r="C5" s="1069" t="s">
        <v>1128</v>
      </c>
      <c r="D5" s="1070"/>
      <c r="E5" s="1070"/>
      <c r="F5" s="1070"/>
      <c r="G5" s="1070"/>
      <c r="H5" s="1070"/>
      <c r="I5" s="1070"/>
      <c r="J5" s="1071"/>
    </row>
    <row r="6" spans="1:12" ht="30" customHeight="1">
      <c r="A6" s="185"/>
      <c r="B6" s="1062"/>
      <c r="C6" s="405" t="s">
        <v>602</v>
      </c>
      <c r="D6" s="449"/>
      <c r="E6" s="406" t="s">
        <v>920</v>
      </c>
      <c r="F6" s="450"/>
      <c r="G6" s="406" t="s">
        <v>107</v>
      </c>
      <c r="H6" s="1099" t="s">
        <v>985</v>
      </c>
      <c r="I6" s="1099"/>
      <c r="J6" s="452"/>
    </row>
    <row r="7" spans="1:12" ht="30" customHeight="1">
      <c r="A7" s="185"/>
      <c r="B7" s="1062"/>
      <c r="C7" s="407" t="s">
        <v>603</v>
      </c>
      <c r="D7" s="449"/>
      <c r="E7" s="406" t="s">
        <v>80</v>
      </c>
      <c r="F7" s="450"/>
      <c r="G7" s="406" t="s">
        <v>107</v>
      </c>
      <c r="H7" s="1099" t="s">
        <v>985</v>
      </c>
      <c r="I7" s="1099"/>
      <c r="J7" s="452"/>
    </row>
    <row r="8" spans="1:12" ht="30" customHeight="1">
      <c r="A8" s="185"/>
      <c r="B8" s="1062"/>
      <c r="C8" s="405" t="s">
        <v>606</v>
      </c>
      <c r="D8" s="450"/>
      <c r="E8" s="408" t="s">
        <v>607</v>
      </c>
      <c r="F8" s="450"/>
      <c r="G8" s="406" t="s">
        <v>107</v>
      </c>
      <c r="H8" s="1099" t="s">
        <v>985</v>
      </c>
      <c r="I8" s="1099"/>
      <c r="J8" s="452"/>
    </row>
    <row r="9" spans="1:12" ht="30" customHeight="1">
      <c r="A9" s="185"/>
      <c r="B9" s="1062"/>
      <c r="C9" s="405" t="s">
        <v>605</v>
      </c>
      <c r="D9" s="450"/>
      <c r="E9" s="406" t="s">
        <v>79</v>
      </c>
      <c r="F9" s="450"/>
      <c r="G9" s="406" t="s">
        <v>107</v>
      </c>
      <c r="H9" s="1099" t="s">
        <v>405</v>
      </c>
      <c r="I9" s="1099"/>
      <c r="J9" s="452"/>
    </row>
    <row r="10" spans="1:12" ht="30" customHeight="1" thickBot="1">
      <c r="A10" s="185"/>
      <c r="B10" s="1063"/>
      <c r="C10" s="409" t="s">
        <v>608</v>
      </c>
      <c r="D10" s="451"/>
      <c r="E10" s="410" t="s">
        <v>604</v>
      </c>
      <c r="F10" s="451"/>
      <c r="G10" s="411" t="s">
        <v>107</v>
      </c>
      <c r="H10" s="1100" t="s">
        <v>405</v>
      </c>
      <c r="I10" s="1100"/>
      <c r="J10" s="453"/>
    </row>
    <row r="11" spans="1:12" ht="30" customHeight="1" thickBot="1">
      <c r="A11" s="185"/>
      <c r="B11" s="1055" t="s">
        <v>482</v>
      </c>
      <c r="C11" s="1056"/>
      <c r="D11" s="1056"/>
      <c r="E11" s="1056"/>
      <c r="F11" s="1056"/>
      <c r="G11" s="1056"/>
      <c r="H11" s="1056"/>
      <c r="I11" s="1056"/>
      <c r="J11" s="1057"/>
    </row>
    <row r="12" spans="1:12" ht="29.25" customHeight="1">
      <c r="A12" s="185"/>
      <c r="B12" s="1082" t="s">
        <v>6</v>
      </c>
      <c r="C12" s="1105" t="s">
        <v>1129</v>
      </c>
      <c r="D12" s="1106"/>
      <c r="E12" s="1106"/>
      <c r="F12" s="1106"/>
      <c r="G12" s="1106"/>
      <c r="H12" s="1106"/>
      <c r="I12" s="1107"/>
      <c r="J12" s="454"/>
      <c r="K12" s="63"/>
    </row>
    <row r="13" spans="1:12" ht="29.25" customHeight="1">
      <c r="A13" s="185"/>
      <c r="B13" s="1083"/>
      <c r="C13" s="1085" t="s">
        <v>1130</v>
      </c>
      <c r="D13" s="1086"/>
      <c r="E13" s="1086"/>
      <c r="F13" s="1086"/>
      <c r="G13" s="1086"/>
      <c r="H13" s="1086"/>
      <c r="I13" s="1086"/>
      <c r="J13" s="1087"/>
      <c r="K13" s="63"/>
      <c r="L13" s="64"/>
    </row>
    <row r="14" spans="1:12" ht="15" customHeight="1">
      <c r="A14" s="185"/>
      <c r="B14" s="1083"/>
      <c r="C14" s="1088" t="s">
        <v>919</v>
      </c>
      <c r="D14" s="1092"/>
      <c r="E14" s="1088" t="s">
        <v>105</v>
      </c>
      <c r="F14" s="1089"/>
      <c r="G14" s="1052" t="s">
        <v>921</v>
      </c>
      <c r="H14" s="1053"/>
      <c r="I14" s="1053"/>
      <c r="J14" s="1054"/>
      <c r="L14" s="64"/>
    </row>
    <row r="15" spans="1:12" ht="15.75" customHeight="1" thickBot="1">
      <c r="A15" s="185"/>
      <c r="B15" s="1084"/>
      <c r="C15" s="1090"/>
      <c r="D15" s="1093"/>
      <c r="E15" s="1090"/>
      <c r="F15" s="1091"/>
      <c r="G15" s="1097" t="s">
        <v>552</v>
      </c>
      <c r="H15" s="1098"/>
      <c r="I15" s="109" t="s">
        <v>553</v>
      </c>
      <c r="J15" s="110" t="s">
        <v>554</v>
      </c>
      <c r="L15" s="64"/>
    </row>
    <row r="16" spans="1:12" s="64" customFormat="1" ht="15" customHeight="1">
      <c r="A16" s="186"/>
      <c r="B16" s="26">
        <v>1</v>
      </c>
      <c r="C16" s="1080"/>
      <c r="D16" s="1081"/>
      <c r="E16" s="1080"/>
      <c r="F16" s="1094"/>
      <c r="G16" s="1101"/>
      <c r="H16" s="1102"/>
      <c r="I16" s="455"/>
      <c r="J16" s="456"/>
    </row>
    <row r="17" spans="1:10" s="64" customFormat="1">
      <c r="A17" s="186"/>
      <c r="B17" s="25">
        <v>2</v>
      </c>
      <c r="C17" s="1064"/>
      <c r="D17" s="1065"/>
      <c r="E17" s="1064"/>
      <c r="F17" s="1068"/>
      <c r="G17" s="1095"/>
      <c r="H17" s="1096"/>
      <c r="I17" s="455"/>
      <c r="J17" s="456"/>
    </row>
    <row r="18" spans="1:10" s="64" customFormat="1">
      <c r="A18" s="186"/>
      <c r="B18" s="25">
        <v>3</v>
      </c>
      <c r="C18" s="1064"/>
      <c r="D18" s="1065"/>
      <c r="E18" s="1064"/>
      <c r="F18" s="1068"/>
      <c r="G18" s="1095"/>
      <c r="H18" s="1096"/>
      <c r="I18" s="455"/>
      <c r="J18" s="456"/>
    </row>
    <row r="19" spans="1:10" s="64" customFormat="1">
      <c r="A19" s="186"/>
      <c r="B19" s="26">
        <v>4</v>
      </c>
      <c r="C19" s="1064"/>
      <c r="D19" s="1065"/>
      <c r="E19" s="1064"/>
      <c r="F19" s="1068"/>
      <c r="G19" s="1095"/>
      <c r="H19" s="1096"/>
      <c r="I19" s="455"/>
      <c r="J19" s="456"/>
    </row>
    <row r="20" spans="1:10" s="64" customFormat="1">
      <c r="A20" s="186"/>
      <c r="B20" s="26">
        <v>5</v>
      </c>
      <c r="C20" s="1064"/>
      <c r="D20" s="1065"/>
      <c r="E20" s="1064"/>
      <c r="F20" s="1068"/>
      <c r="G20" s="1095"/>
      <c r="H20" s="1096"/>
      <c r="I20" s="455"/>
      <c r="J20" s="456"/>
    </row>
    <row r="21" spans="1:10" s="64" customFormat="1">
      <c r="A21" s="186"/>
      <c r="B21" s="25">
        <v>6</v>
      </c>
      <c r="C21" s="1064"/>
      <c r="D21" s="1065"/>
      <c r="E21" s="1064"/>
      <c r="F21" s="1068"/>
      <c r="G21" s="1095"/>
      <c r="H21" s="1096"/>
      <c r="I21" s="455"/>
      <c r="J21" s="456"/>
    </row>
    <row r="22" spans="1:10" s="64" customFormat="1">
      <c r="A22" s="186"/>
      <c r="B22" s="25">
        <v>7</v>
      </c>
      <c r="C22" s="1064"/>
      <c r="D22" s="1065"/>
      <c r="E22" s="1064"/>
      <c r="F22" s="1068"/>
      <c r="G22" s="1095"/>
      <c r="H22" s="1096"/>
      <c r="I22" s="455"/>
      <c r="J22" s="456"/>
    </row>
    <row r="23" spans="1:10" s="64" customFormat="1">
      <c r="A23" s="186"/>
      <c r="B23" s="26">
        <v>8</v>
      </c>
      <c r="C23" s="1064"/>
      <c r="D23" s="1065"/>
      <c r="E23" s="1064"/>
      <c r="F23" s="1068"/>
      <c r="G23" s="1095"/>
      <c r="H23" s="1096"/>
      <c r="I23" s="455"/>
      <c r="J23" s="456"/>
    </row>
    <row r="24" spans="1:10" s="64" customFormat="1">
      <c r="A24" s="186"/>
      <c r="B24" s="26">
        <v>9</v>
      </c>
      <c r="C24" s="1064"/>
      <c r="D24" s="1065"/>
      <c r="E24" s="1064"/>
      <c r="F24" s="1068"/>
      <c r="G24" s="1095"/>
      <c r="H24" s="1096"/>
      <c r="I24" s="455"/>
      <c r="J24" s="456"/>
    </row>
    <row r="25" spans="1:10" s="64" customFormat="1">
      <c r="A25" s="186"/>
      <c r="B25" s="25">
        <v>10</v>
      </c>
      <c r="C25" s="1064"/>
      <c r="D25" s="1065"/>
      <c r="E25" s="1064"/>
      <c r="F25" s="1068"/>
      <c r="G25" s="1095"/>
      <c r="H25" s="1096"/>
      <c r="I25" s="457"/>
      <c r="J25" s="458"/>
    </row>
    <row r="26" spans="1:10">
      <c r="A26" s="185"/>
      <c r="B26" s="25">
        <v>11</v>
      </c>
      <c r="C26" s="1064"/>
      <c r="D26" s="1065"/>
      <c r="E26" s="1064"/>
      <c r="F26" s="1068"/>
      <c r="G26" s="1095"/>
      <c r="H26" s="1096"/>
      <c r="I26" s="455"/>
      <c r="J26" s="456"/>
    </row>
    <row r="27" spans="1:10">
      <c r="A27" s="185"/>
      <c r="B27" s="26">
        <v>12</v>
      </c>
      <c r="C27" s="1064"/>
      <c r="D27" s="1065"/>
      <c r="E27" s="1064"/>
      <c r="F27" s="1068"/>
      <c r="G27" s="1095"/>
      <c r="H27" s="1096"/>
      <c r="I27" s="455"/>
      <c r="J27" s="456"/>
    </row>
    <row r="28" spans="1:10">
      <c r="A28" s="185"/>
      <c r="B28" s="26">
        <v>13</v>
      </c>
      <c r="C28" s="1064"/>
      <c r="D28" s="1065"/>
      <c r="E28" s="1064"/>
      <c r="F28" s="1068"/>
      <c r="G28" s="1095"/>
      <c r="H28" s="1096"/>
      <c r="I28" s="455"/>
      <c r="J28" s="456"/>
    </row>
    <row r="29" spans="1:10">
      <c r="A29" s="185"/>
      <c r="B29" s="25">
        <v>14</v>
      </c>
      <c r="C29" s="1064"/>
      <c r="D29" s="1065"/>
      <c r="E29" s="1064"/>
      <c r="F29" s="1068"/>
      <c r="G29" s="1095"/>
      <c r="H29" s="1096"/>
      <c r="I29" s="455"/>
      <c r="J29" s="456"/>
    </row>
    <row r="30" spans="1:10">
      <c r="A30" s="185"/>
      <c r="B30" s="25">
        <v>15</v>
      </c>
      <c r="C30" s="1064"/>
      <c r="D30" s="1065"/>
      <c r="E30" s="1064"/>
      <c r="F30" s="1068"/>
      <c r="G30" s="1095"/>
      <c r="H30" s="1096"/>
      <c r="I30" s="455"/>
      <c r="J30" s="456"/>
    </row>
    <row r="31" spans="1:10">
      <c r="A31" s="185"/>
      <c r="B31" s="26">
        <v>16</v>
      </c>
      <c r="C31" s="1064"/>
      <c r="D31" s="1065"/>
      <c r="E31" s="1064"/>
      <c r="F31" s="1068"/>
      <c r="G31" s="1095"/>
      <c r="H31" s="1096"/>
      <c r="I31" s="455"/>
      <c r="J31" s="456"/>
    </row>
    <row r="32" spans="1:10">
      <c r="A32" s="185"/>
      <c r="B32" s="26">
        <v>17</v>
      </c>
      <c r="C32" s="1064"/>
      <c r="D32" s="1065"/>
      <c r="E32" s="1064"/>
      <c r="F32" s="1068"/>
      <c r="G32" s="1095"/>
      <c r="H32" s="1096"/>
      <c r="I32" s="455"/>
      <c r="J32" s="456"/>
    </row>
    <row r="33" spans="1:10">
      <c r="A33" s="185"/>
      <c r="B33" s="25">
        <v>18</v>
      </c>
      <c r="C33" s="1064"/>
      <c r="D33" s="1065"/>
      <c r="E33" s="1064"/>
      <c r="F33" s="1068"/>
      <c r="G33" s="1095"/>
      <c r="H33" s="1096"/>
      <c r="I33" s="455"/>
      <c r="J33" s="456"/>
    </row>
    <row r="34" spans="1:10">
      <c r="A34" s="185"/>
      <c r="B34" s="25">
        <v>19</v>
      </c>
      <c r="C34" s="1064"/>
      <c r="D34" s="1065"/>
      <c r="E34" s="1064"/>
      <c r="F34" s="1068"/>
      <c r="G34" s="1095"/>
      <c r="H34" s="1096"/>
      <c r="I34" s="455"/>
      <c r="J34" s="456"/>
    </row>
    <row r="35" spans="1:10" ht="13.5" thickBot="1">
      <c r="A35" s="185"/>
      <c r="B35" s="26">
        <v>20</v>
      </c>
      <c r="C35" s="1066"/>
      <c r="D35" s="1067"/>
      <c r="E35" s="1064"/>
      <c r="F35" s="1068"/>
      <c r="G35" s="1103"/>
      <c r="H35" s="1104"/>
      <c r="I35" s="457"/>
      <c r="J35" s="458"/>
    </row>
    <row r="36" spans="1:10" ht="27" customHeight="1">
      <c r="A36" s="185"/>
      <c r="B36" s="1078" t="s">
        <v>48</v>
      </c>
      <c r="C36" s="1079"/>
      <c r="D36" s="1049" t="s">
        <v>455</v>
      </c>
      <c r="E36" s="1050"/>
      <c r="F36" s="1050"/>
      <c r="G36" s="1050"/>
      <c r="H36" s="1050"/>
      <c r="I36" s="1050"/>
      <c r="J36" s="1051"/>
    </row>
    <row r="37" spans="1:10">
      <c r="A37" s="185"/>
      <c r="B37" s="187"/>
      <c r="C37" s="188"/>
      <c r="D37" s="189"/>
      <c r="E37" s="189" t="s">
        <v>455</v>
      </c>
      <c r="F37" s="189"/>
      <c r="G37" s="189"/>
      <c r="H37" s="189"/>
      <c r="I37" s="189"/>
      <c r="J37" s="190"/>
    </row>
    <row r="38" spans="1:10" ht="12.75" customHeight="1" thickBot="1">
      <c r="A38" s="185"/>
      <c r="B38" s="1075" t="s">
        <v>4</v>
      </c>
      <c r="C38" s="1076"/>
      <c r="D38" s="1076"/>
      <c r="E38" s="1076"/>
      <c r="F38" s="1076"/>
      <c r="G38" s="1076"/>
      <c r="H38" s="1076"/>
      <c r="I38" s="1076"/>
      <c r="J38" s="1077"/>
    </row>
    <row r="39" spans="1:10" ht="15" customHeight="1">
      <c r="A39" s="185"/>
      <c r="B39" s="185"/>
      <c r="C39" s="185"/>
      <c r="D39" s="185"/>
      <c r="E39" s="191"/>
      <c r="F39" s="185"/>
      <c r="G39" s="185"/>
      <c r="H39" s="185"/>
      <c r="I39" s="185"/>
      <c r="J39" s="185"/>
    </row>
    <row r="40" spans="1:10">
      <c r="A40" s="185"/>
      <c r="B40" s="185"/>
      <c r="C40" s="185"/>
      <c r="D40" s="185"/>
      <c r="E40" s="191"/>
      <c r="F40" s="185"/>
      <c r="G40" s="185"/>
      <c r="H40" s="185"/>
      <c r="I40" s="185"/>
      <c r="J40" s="185"/>
    </row>
    <row r="41" spans="1:10">
      <c r="A41" s="185"/>
      <c r="B41" s="185"/>
      <c r="C41" s="185"/>
      <c r="D41" s="185"/>
      <c r="E41" s="191"/>
      <c r="F41" s="185"/>
      <c r="G41" s="185"/>
      <c r="H41" s="185"/>
      <c r="I41" s="185"/>
      <c r="J41" s="185"/>
    </row>
    <row r="42" spans="1:10">
      <c r="A42" s="185"/>
      <c r="B42" s="185"/>
      <c r="C42" s="185"/>
      <c r="D42" s="185"/>
      <c r="E42" s="191"/>
      <c r="F42" s="185"/>
      <c r="G42" s="185"/>
      <c r="H42" s="185"/>
      <c r="I42" s="185"/>
      <c r="J42" s="185"/>
    </row>
    <row r="43" spans="1:10">
      <c r="A43" s="185"/>
      <c r="B43" s="185"/>
      <c r="C43" s="185"/>
      <c r="D43" s="185"/>
      <c r="E43" s="191"/>
      <c r="F43" s="185"/>
      <c r="G43" s="185"/>
      <c r="H43" s="185"/>
      <c r="I43" s="185"/>
      <c r="J43" s="185"/>
    </row>
    <row r="44" spans="1:10">
      <c r="A44" s="185"/>
      <c r="B44" s="185"/>
      <c r="C44" s="185"/>
      <c r="D44" s="185"/>
      <c r="E44" s="191"/>
      <c r="F44" s="185"/>
      <c r="G44" s="185"/>
      <c r="H44" s="185"/>
      <c r="I44" s="185"/>
      <c r="J44" s="185"/>
    </row>
    <row r="45" spans="1:10">
      <c r="A45" s="185"/>
      <c r="B45" s="185"/>
      <c r="C45" s="185"/>
      <c r="D45" s="185"/>
      <c r="E45" s="191"/>
      <c r="F45" s="185"/>
      <c r="G45" s="185"/>
      <c r="H45" s="185"/>
      <c r="I45" s="185"/>
      <c r="J45" s="185"/>
    </row>
    <row r="46" spans="1:10">
      <c r="A46" s="185"/>
      <c r="B46" s="185"/>
      <c r="C46" s="185"/>
      <c r="D46" s="185"/>
      <c r="E46" s="191"/>
      <c r="F46" s="185"/>
      <c r="G46" s="185"/>
      <c r="H46" s="185"/>
      <c r="I46" s="185"/>
      <c r="J46" s="185"/>
    </row>
    <row r="47" spans="1:10">
      <c r="A47" s="185"/>
      <c r="B47" s="185"/>
      <c r="C47" s="185"/>
      <c r="D47" s="185"/>
      <c r="E47" s="191"/>
      <c r="F47" s="185"/>
      <c r="G47" s="185"/>
      <c r="H47" s="185"/>
      <c r="I47" s="185"/>
      <c r="J47" s="185"/>
    </row>
    <row r="48" spans="1:10">
      <c r="A48" s="185"/>
      <c r="B48" s="185"/>
      <c r="C48" s="185"/>
      <c r="D48" s="185"/>
      <c r="E48" s="191"/>
      <c r="F48" s="185"/>
      <c r="G48" s="185"/>
      <c r="H48" s="185"/>
      <c r="I48" s="185"/>
      <c r="J48" s="185"/>
    </row>
    <row r="49" spans="1:10">
      <c r="A49" s="185"/>
      <c r="B49" s="185"/>
      <c r="C49" s="185"/>
      <c r="D49" s="185"/>
      <c r="E49" s="191"/>
      <c r="F49" s="185"/>
      <c r="G49" s="185"/>
      <c r="H49" s="185"/>
      <c r="I49" s="185"/>
      <c r="J49" s="185"/>
    </row>
    <row r="50" spans="1:10">
      <c r="A50" s="185"/>
      <c r="B50" s="185"/>
      <c r="C50" s="185"/>
      <c r="D50" s="185"/>
      <c r="E50" s="191"/>
      <c r="F50" s="185"/>
      <c r="G50" s="185"/>
      <c r="H50" s="185"/>
      <c r="I50" s="185"/>
      <c r="J50" s="185"/>
    </row>
    <row r="51" spans="1:10">
      <c r="A51" s="185"/>
      <c r="B51" s="185"/>
      <c r="C51" s="185"/>
      <c r="D51" s="185"/>
      <c r="E51" s="191"/>
      <c r="F51" s="185"/>
      <c r="G51" s="185"/>
      <c r="H51" s="185"/>
      <c r="I51" s="185"/>
      <c r="J51" s="185"/>
    </row>
    <row r="52" spans="1:10">
      <c r="A52" s="185"/>
      <c r="B52" s="185"/>
      <c r="C52" s="185"/>
      <c r="D52" s="185"/>
      <c r="E52" s="191"/>
      <c r="F52" s="185"/>
      <c r="G52" s="185"/>
      <c r="H52" s="185"/>
      <c r="I52" s="185"/>
      <c r="J52" s="185"/>
    </row>
    <row r="53" spans="1:10">
      <c r="A53" s="185"/>
      <c r="B53" s="185"/>
      <c r="C53" s="185"/>
      <c r="D53" s="185"/>
      <c r="E53" s="191"/>
      <c r="F53" s="185"/>
      <c r="G53" s="185"/>
      <c r="H53" s="185"/>
      <c r="I53" s="185"/>
      <c r="J53" s="185"/>
    </row>
    <row r="54" spans="1:10">
      <c r="A54" s="185"/>
      <c r="B54" s="185"/>
      <c r="C54" s="185"/>
      <c r="D54" s="185"/>
      <c r="E54" s="191"/>
      <c r="F54" s="185"/>
      <c r="G54" s="185"/>
      <c r="H54" s="185"/>
      <c r="I54" s="185"/>
      <c r="J54" s="185"/>
    </row>
    <row r="55" spans="1:10">
      <c r="A55" s="185"/>
      <c r="B55" s="185"/>
      <c r="C55" s="185"/>
      <c r="D55" s="185"/>
      <c r="E55" s="191"/>
      <c r="F55" s="185"/>
      <c r="G55" s="185"/>
      <c r="H55" s="185"/>
      <c r="I55" s="185"/>
      <c r="J55" s="185"/>
    </row>
    <row r="56" spans="1:10">
      <c r="A56" s="185"/>
      <c r="B56" s="185"/>
      <c r="C56" s="185"/>
      <c r="D56" s="185"/>
      <c r="E56" s="191"/>
      <c r="F56" s="185"/>
      <c r="G56" s="185"/>
      <c r="H56" s="185"/>
      <c r="I56" s="185"/>
      <c r="J56" s="185"/>
    </row>
    <row r="57" spans="1:10">
      <c r="A57" s="185"/>
      <c r="B57" s="185"/>
      <c r="C57" s="185"/>
      <c r="D57" s="185"/>
      <c r="E57" s="191"/>
      <c r="F57" s="185"/>
      <c r="G57" s="185"/>
      <c r="H57" s="185"/>
      <c r="I57" s="185"/>
      <c r="J57" s="185"/>
    </row>
    <row r="58" spans="1:10">
      <c r="A58" s="185"/>
      <c r="B58" s="185"/>
      <c r="C58" s="185"/>
      <c r="D58" s="185"/>
      <c r="E58" s="191"/>
      <c r="F58" s="185"/>
      <c r="G58" s="185"/>
      <c r="H58" s="185"/>
      <c r="I58" s="185"/>
      <c r="J58" s="185"/>
    </row>
    <row r="59" spans="1:10">
      <c r="A59" s="185"/>
      <c r="B59" s="185"/>
      <c r="C59" s="185"/>
      <c r="D59" s="185"/>
      <c r="E59" s="191"/>
      <c r="F59" s="185"/>
      <c r="G59" s="185"/>
      <c r="H59" s="185"/>
      <c r="I59" s="185"/>
      <c r="J59" s="185"/>
    </row>
    <row r="60" spans="1:10">
      <c r="A60" s="185"/>
      <c r="B60" s="185"/>
      <c r="C60" s="185"/>
      <c r="D60" s="185"/>
      <c r="E60" s="191"/>
      <c r="F60" s="185"/>
      <c r="G60" s="185"/>
      <c r="H60" s="185"/>
      <c r="I60" s="185"/>
      <c r="J60" s="185"/>
    </row>
    <row r="61" spans="1:10">
      <c r="A61" s="185"/>
      <c r="B61" s="185"/>
      <c r="C61" s="185"/>
      <c r="D61" s="185"/>
      <c r="E61" s="191"/>
      <c r="F61" s="185"/>
      <c r="G61" s="185"/>
      <c r="H61" s="185"/>
      <c r="I61" s="185"/>
      <c r="J61" s="185"/>
    </row>
    <row r="62" spans="1:10">
      <c r="A62" s="185"/>
      <c r="B62" s="185"/>
      <c r="C62" s="185"/>
      <c r="D62" s="185"/>
      <c r="E62" s="191"/>
      <c r="F62" s="185"/>
      <c r="G62" s="185"/>
      <c r="H62" s="185"/>
      <c r="I62" s="185"/>
      <c r="J62" s="185"/>
    </row>
    <row r="63" spans="1:10">
      <c r="A63" s="185"/>
      <c r="B63" s="185"/>
      <c r="C63" s="185"/>
      <c r="D63" s="185"/>
      <c r="E63" s="191"/>
      <c r="F63" s="185"/>
      <c r="G63" s="185"/>
      <c r="H63" s="185"/>
      <c r="I63" s="185"/>
      <c r="J63" s="185"/>
    </row>
    <row r="64" spans="1:10">
      <c r="A64" s="185"/>
      <c r="B64" s="185"/>
      <c r="C64" s="185"/>
      <c r="D64" s="185"/>
      <c r="E64" s="191"/>
      <c r="F64" s="185"/>
      <c r="G64" s="185"/>
      <c r="H64" s="185"/>
      <c r="I64" s="185"/>
      <c r="J64" s="185"/>
    </row>
    <row r="65" spans="1:10">
      <c r="A65" s="185"/>
      <c r="B65" s="185"/>
      <c r="C65" s="185"/>
      <c r="D65" s="185"/>
      <c r="E65" s="191"/>
      <c r="F65" s="185"/>
      <c r="G65" s="185"/>
      <c r="H65" s="185"/>
      <c r="I65" s="185"/>
      <c r="J65" s="185"/>
    </row>
    <row r="66" spans="1:10">
      <c r="A66" s="185"/>
      <c r="B66" s="185"/>
      <c r="C66" s="185"/>
      <c r="D66" s="185"/>
      <c r="E66" s="191"/>
      <c r="F66" s="185"/>
      <c r="G66" s="185"/>
      <c r="H66" s="185"/>
      <c r="I66" s="185"/>
      <c r="J66" s="185"/>
    </row>
    <row r="67" spans="1:10">
      <c r="A67" s="185"/>
      <c r="B67" s="185"/>
      <c r="C67" s="185"/>
      <c r="D67" s="185"/>
      <c r="E67" s="191"/>
      <c r="F67" s="185"/>
      <c r="G67" s="185"/>
      <c r="H67" s="185"/>
      <c r="I67" s="185"/>
      <c r="J67" s="185"/>
    </row>
    <row r="68" spans="1:10">
      <c r="A68" s="185"/>
      <c r="B68" s="185"/>
      <c r="C68" s="185"/>
      <c r="D68" s="185"/>
      <c r="E68" s="191"/>
      <c r="F68" s="185"/>
      <c r="G68" s="185"/>
      <c r="H68" s="185"/>
      <c r="I68" s="185"/>
      <c r="J68" s="185"/>
    </row>
    <row r="69" spans="1:10">
      <c r="A69" s="185"/>
      <c r="B69" s="185"/>
      <c r="C69" s="185"/>
      <c r="D69" s="185"/>
      <c r="E69" s="191"/>
      <c r="F69" s="185"/>
      <c r="G69" s="185"/>
      <c r="H69" s="185"/>
      <c r="I69" s="185"/>
      <c r="J69" s="185"/>
    </row>
    <row r="70" spans="1:10">
      <c r="A70" s="185"/>
      <c r="B70" s="185"/>
      <c r="C70" s="185"/>
      <c r="D70" s="185"/>
      <c r="E70" s="191"/>
      <c r="F70" s="185"/>
      <c r="G70" s="185"/>
      <c r="H70" s="185"/>
      <c r="I70" s="185"/>
      <c r="J70" s="185"/>
    </row>
    <row r="71" spans="1:10">
      <c r="A71" s="185"/>
      <c r="B71" s="185"/>
      <c r="C71" s="185"/>
      <c r="D71" s="185"/>
      <c r="E71" s="191"/>
      <c r="F71" s="185"/>
      <c r="G71" s="185"/>
      <c r="H71" s="185"/>
      <c r="I71" s="185"/>
      <c r="J71" s="185"/>
    </row>
    <row r="72" spans="1:10">
      <c r="A72" s="185"/>
      <c r="B72" s="185"/>
      <c r="C72" s="185"/>
      <c r="D72" s="185"/>
      <c r="E72" s="191"/>
      <c r="F72" s="185"/>
      <c r="G72" s="185"/>
      <c r="H72" s="185"/>
      <c r="I72" s="185"/>
      <c r="J72" s="185"/>
    </row>
    <row r="73" spans="1:10">
      <c r="A73" s="185"/>
      <c r="B73" s="185"/>
      <c r="C73" s="185"/>
      <c r="D73" s="185"/>
      <c r="E73" s="191"/>
      <c r="F73" s="185"/>
      <c r="G73" s="185"/>
      <c r="H73" s="185"/>
      <c r="I73" s="185"/>
      <c r="J73" s="185"/>
    </row>
    <row r="74" spans="1:10">
      <c r="A74" s="185"/>
      <c r="B74" s="185"/>
      <c r="C74" s="185"/>
      <c r="D74" s="185"/>
      <c r="E74" s="191"/>
      <c r="F74" s="185"/>
      <c r="G74" s="185"/>
      <c r="H74" s="185"/>
      <c r="I74" s="185"/>
      <c r="J74" s="185"/>
    </row>
    <row r="75" spans="1:10">
      <c r="A75" s="185"/>
      <c r="B75" s="185"/>
      <c r="C75" s="185"/>
      <c r="D75" s="185"/>
      <c r="E75" s="191"/>
      <c r="F75" s="185"/>
      <c r="G75" s="185"/>
      <c r="H75" s="185"/>
      <c r="I75" s="185"/>
      <c r="J75" s="185"/>
    </row>
    <row r="76" spans="1:10">
      <c r="A76" s="185"/>
      <c r="B76" s="185"/>
      <c r="C76" s="185"/>
      <c r="D76" s="185"/>
      <c r="E76" s="191"/>
      <c r="F76" s="185"/>
      <c r="G76" s="185"/>
      <c r="H76" s="185"/>
      <c r="I76" s="185"/>
      <c r="J76" s="185"/>
    </row>
    <row r="77" spans="1:10">
      <c r="A77" s="185"/>
      <c r="B77" s="185"/>
      <c r="C77" s="185"/>
      <c r="D77" s="185"/>
      <c r="E77" s="191"/>
      <c r="F77" s="185"/>
      <c r="G77" s="185"/>
      <c r="H77" s="185"/>
      <c r="I77" s="185"/>
      <c r="J77" s="185"/>
    </row>
    <row r="78" spans="1:10">
      <c r="A78" s="185"/>
      <c r="B78" s="185"/>
      <c r="C78" s="185"/>
      <c r="D78" s="185"/>
      <c r="E78" s="191"/>
      <c r="F78" s="185"/>
      <c r="G78" s="185"/>
      <c r="H78" s="185"/>
      <c r="I78" s="185"/>
      <c r="J78" s="185"/>
    </row>
    <row r="79" spans="1:10">
      <c r="A79" s="185"/>
      <c r="B79" s="185"/>
      <c r="C79" s="185"/>
      <c r="D79" s="185"/>
      <c r="E79" s="191"/>
      <c r="F79" s="185"/>
      <c r="G79" s="185"/>
      <c r="H79" s="185"/>
      <c r="I79" s="185"/>
      <c r="J79" s="185"/>
    </row>
    <row r="80" spans="1:10">
      <c r="A80" s="185"/>
      <c r="B80" s="185"/>
      <c r="C80" s="185"/>
      <c r="D80" s="185"/>
      <c r="E80" s="191"/>
      <c r="F80" s="185"/>
      <c r="G80" s="185"/>
      <c r="H80" s="185"/>
      <c r="I80" s="185"/>
      <c r="J80" s="185"/>
    </row>
    <row r="81" spans="1:10">
      <c r="A81" s="185"/>
      <c r="B81" s="185"/>
      <c r="C81" s="185"/>
      <c r="D81" s="185"/>
      <c r="E81" s="191"/>
      <c r="F81" s="185"/>
      <c r="G81" s="185"/>
      <c r="H81" s="185"/>
      <c r="I81" s="185"/>
      <c r="J81" s="185"/>
    </row>
    <row r="82" spans="1:10">
      <c r="A82" s="185"/>
      <c r="B82" s="185"/>
      <c r="C82" s="185"/>
      <c r="D82" s="185"/>
      <c r="E82" s="191"/>
      <c r="F82" s="185"/>
      <c r="G82" s="185"/>
      <c r="H82" s="185"/>
      <c r="I82" s="185"/>
      <c r="J82" s="185"/>
    </row>
    <row r="83" spans="1:10">
      <c r="A83" s="185"/>
      <c r="B83" s="185"/>
      <c r="C83" s="185"/>
      <c r="D83" s="185"/>
      <c r="E83" s="191"/>
      <c r="F83" s="185"/>
      <c r="G83" s="185"/>
      <c r="H83" s="185"/>
      <c r="I83" s="185"/>
      <c r="J83" s="185"/>
    </row>
    <row r="84" spans="1:10">
      <c r="A84" s="185"/>
      <c r="B84" s="185"/>
      <c r="C84" s="185"/>
      <c r="D84" s="185"/>
      <c r="E84" s="191"/>
      <c r="F84" s="185"/>
      <c r="G84" s="185"/>
      <c r="H84" s="185"/>
      <c r="I84" s="185"/>
      <c r="J84" s="185"/>
    </row>
    <row r="85" spans="1:10">
      <c r="A85" s="185"/>
      <c r="B85" s="185"/>
      <c r="C85" s="185"/>
      <c r="D85" s="185"/>
      <c r="E85" s="191"/>
      <c r="F85" s="185"/>
      <c r="G85" s="185"/>
      <c r="H85" s="185"/>
      <c r="I85" s="185"/>
      <c r="J85" s="185"/>
    </row>
    <row r="86" spans="1:10">
      <c r="A86" s="185"/>
      <c r="B86" s="185"/>
      <c r="C86" s="185"/>
      <c r="D86" s="185"/>
      <c r="E86" s="191"/>
      <c r="F86" s="185"/>
      <c r="G86" s="185"/>
      <c r="H86" s="185"/>
      <c r="I86" s="185"/>
      <c r="J86" s="185"/>
    </row>
    <row r="87" spans="1:10">
      <c r="A87" s="185"/>
      <c r="B87" s="185"/>
      <c r="C87" s="185"/>
      <c r="D87" s="185"/>
      <c r="E87" s="191"/>
      <c r="F87" s="185"/>
      <c r="G87" s="185"/>
      <c r="H87" s="185"/>
      <c r="I87" s="185"/>
      <c r="J87" s="185"/>
    </row>
    <row r="88" spans="1:10">
      <c r="A88" s="185"/>
      <c r="B88" s="185"/>
      <c r="C88" s="185"/>
      <c r="D88" s="185"/>
      <c r="E88" s="191"/>
      <c r="F88" s="185"/>
      <c r="G88" s="185"/>
      <c r="H88" s="185"/>
      <c r="I88" s="185"/>
      <c r="J88" s="185"/>
    </row>
    <row r="89" spans="1:10">
      <c r="A89" s="185"/>
      <c r="B89" s="185"/>
      <c r="C89" s="185"/>
      <c r="D89" s="185"/>
      <c r="E89" s="191"/>
      <c r="F89" s="185"/>
      <c r="G89" s="185"/>
      <c r="H89" s="185"/>
      <c r="I89" s="185"/>
      <c r="J89" s="185"/>
    </row>
    <row r="90" spans="1:10">
      <c r="A90" s="185"/>
      <c r="B90" s="185"/>
      <c r="C90" s="185"/>
      <c r="D90" s="185"/>
      <c r="E90" s="191"/>
      <c r="F90" s="185"/>
      <c r="G90" s="185"/>
      <c r="H90" s="185"/>
      <c r="I90" s="185"/>
      <c r="J90" s="185"/>
    </row>
    <row r="91" spans="1:10">
      <c r="A91" s="185"/>
      <c r="B91" s="185"/>
      <c r="C91" s="185"/>
      <c r="D91" s="185"/>
      <c r="E91" s="191"/>
      <c r="F91" s="185"/>
      <c r="G91" s="185"/>
      <c r="H91" s="185"/>
      <c r="I91" s="185"/>
      <c r="J91" s="185"/>
    </row>
    <row r="92" spans="1:10">
      <c r="A92" s="185"/>
      <c r="B92" s="185"/>
      <c r="C92" s="185"/>
      <c r="D92" s="185"/>
      <c r="E92" s="191"/>
      <c r="F92" s="185"/>
      <c r="G92" s="185"/>
      <c r="H92" s="185"/>
      <c r="I92" s="185"/>
      <c r="J92" s="185"/>
    </row>
    <row r="93" spans="1:10">
      <c r="A93" s="185"/>
      <c r="B93" s="185"/>
      <c r="C93" s="185"/>
      <c r="D93" s="185"/>
      <c r="E93" s="191"/>
      <c r="F93" s="185"/>
      <c r="G93" s="185"/>
      <c r="H93" s="185"/>
      <c r="I93" s="185"/>
      <c r="J93" s="185"/>
    </row>
    <row r="94" spans="1:10">
      <c r="A94" s="185"/>
      <c r="B94" s="185"/>
      <c r="C94" s="185"/>
      <c r="D94" s="185"/>
      <c r="E94" s="191"/>
      <c r="F94" s="185"/>
      <c r="G94" s="185"/>
      <c r="H94" s="185"/>
      <c r="I94" s="185"/>
      <c r="J94" s="185"/>
    </row>
    <row r="95" spans="1:10">
      <c r="A95" s="185"/>
      <c r="B95" s="185"/>
      <c r="C95" s="185"/>
      <c r="D95" s="185"/>
      <c r="E95" s="191"/>
      <c r="F95" s="185"/>
      <c r="G95" s="185"/>
      <c r="H95" s="185"/>
      <c r="I95" s="185"/>
      <c r="J95" s="185"/>
    </row>
    <row r="96" spans="1:10">
      <c r="A96" s="185"/>
      <c r="B96" s="185"/>
      <c r="C96" s="185"/>
      <c r="D96" s="185"/>
      <c r="E96" s="191"/>
      <c r="F96" s="185"/>
      <c r="G96" s="185"/>
      <c r="H96" s="185"/>
      <c r="I96" s="185"/>
      <c r="J96" s="185"/>
    </row>
    <row r="97" spans="1:10">
      <c r="A97" s="185"/>
      <c r="B97" s="185"/>
      <c r="C97" s="185"/>
      <c r="D97" s="185"/>
      <c r="E97" s="191"/>
      <c r="F97" s="185"/>
      <c r="G97" s="185"/>
      <c r="H97" s="185"/>
      <c r="I97" s="185"/>
      <c r="J97" s="185"/>
    </row>
    <row r="98" spans="1:10">
      <c r="A98" s="185"/>
      <c r="B98" s="185"/>
      <c r="C98" s="185"/>
      <c r="D98" s="185"/>
      <c r="E98" s="191"/>
      <c r="F98" s="185"/>
      <c r="G98" s="185"/>
      <c r="H98" s="185"/>
      <c r="I98" s="185"/>
      <c r="J98" s="185"/>
    </row>
    <row r="99" spans="1:10">
      <c r="A99" s="185"/>
      <c r="B99" s="185"/>
      <c r="C99" s="185"/>
      <c r="D99" s="185"/>
      <c r="E99" s="191"/>
      <c r="F99" s="185"/>
      <c r="G99" s="185"/>
      <c r="H99" s="185"/>
      <c r="I99" s="185"/>
      <c r="J99" s="185"/>
    </row>
    <row r="100" spans="1:10">
      <c r="A100" s="185"/>
      <c r="B100" s="185"/>
      <c r="C100" s="185"/>
      <c r="D100" s="185"/>
      <c r="E100" s="191"/>
      <c r="F100" s="185"/>
      <c r="G100" s="185"/>
      <c r="H100" s="185"/>
      <c r="I100" s="185"/>
      <c r="J100" s="185"/>
    </row>
    <row r="101" spans="1:10">
      <c r="A101" s="185"/>
      <c r="B101" s="185"/>
      <c r="C101" s="185"/>
      <c r="D101" s="185"/>
      <c r="E101" s="191"/>
      <c r="F101" s="185"/>
      <c r="G101" s="185"/>
      <c r="H101" s="185"/>
      <c r="I101" s="185"/>
      <c r="J101" s="185"/>
    </row>
    <row r="102" spans="1:10">
      <c r="A102" s="185"/>
      <c r="B102" s="185"/>
      <c r="C102" s="185"/>
      <c r="D102" s="185"/>
      <c r="E102" s="191"/>
      <c r="F102" s="185"/>
      <c r="G102" s="185"/>
      <c r="H102" s="185"/>
      <c r="I102" s="185"/>
      <c r="J102" s="185"/>
    </row>
    <row r="103" spans="1:10">
      <c r="A103" s="185"/>
      <c r="B103" s="185"/>
      <c r="C103" s="185"/>
      <c r="D103" s="185"/>
      <c r="E103" s="191"/>
      <c r="F103" s="185"/>
      <c r="G103" s="185"/>
      <c r="H103" s="185"/>
      <c r="I103" s="185"/>
      <c r="J103" s="185"/>
    </row>
    <row r="104" spans="1:10">
      <c r="A104" s="185"/>
      <c r="B104" s="185"/>
      <c r="C104" s="185"/>
      <c r="D104" s="185"/>
      <c r="E104" s="191"/>
      <c r="F104" s="185"/>
      <c r="G104" s="185"/>
      <c r="H104" s="185"/>
      <c r="I104" s="185"/>
      <c r="J104" s="185"/>
    </row>
    <row r="105" spans="1:10">
      <c r="A105" s="185"/>
      <c r="B105" s="185"/>
      <c r="C105" s="185"/>
      <c r="D105" s="185"/>
      <c r="E105" s="191"/>
      <c r="F105" s="185"/>
      <c r="G105" s="185"/>
      <c r="H105" s="185"/>
      <c r="I105" s="185"/>
      <c r="J105" s="185"/>
    </row>
    <row r="106" spans="1:10">
      <c r="A106" s="185"/>
      <c r="B106" s="185"/>
      <c r="C106" s="185"/>
      <c r="D106" s="185"/>
      <c r="E106" s="191"/>
      <c r="F106" s="185"/>
      <c r="G106" s="185"/>
      <c r="H106" s="185"/>
      <c r="I106" s="185"/>
      <c r="J106" s="185"/>
    </row>
    <row r="107" spans="1:10">
      <c r="A107" s="185"/>
      <c r="B107" s="185"/>
      <c r="C107" s="185"/>
      <c r="D107" s="185"/>
      <c r="E107" s="191"/>
      <c r="F107" s="185"/>
      <c r="G107" s="185"/>
      <c r="H107" s="185"/>
      <c r="I107" s="185"/>
      <c r="J107" s="185"/>
    </row>
    <row r="108" spans="1:10">
      <c r="A108" s="185"/>
      <c r="B108" s="185"/>
      <c r="C108" s="185"/>
      <c r="D108" s="185"/>
      <c r="E108" s="191"/>
      <c r="F108" s="185"/>
      <c r="G108" s="185"/>
      <c r="H108" s="185"/>
      <c r="I108" s="185"/>
      <c r="J108" s="185"/>
    </row>
    <row r="109" spans="1:10">
      <c r="A109" s="185"/>
      <c r="B109" s="185"/>
      <c r="C109" s="185"/>
      <c r="D109" s="185"/>
      <c r="E109" s="191"/>
      <c r="F109" s="185"/>
      <c r="G109" s="185"/>
      <c r="H109" s="185"/>
      <c r="I109" s="185"/>
      <c r="J109" s="185"/>
    </row>
    <row r="110" spans="1:10">
      <c r="A110" s="185"/>
      <c r="B110" s="185"/>
      <c r="C110" s="185"/>
      <c r="D110" s="185"/>
      <c r="E110" s="191"/>
      <c r="F110" s="185"/>
      <c r="G110" s="185"/>
      <c r="H110" s="185"/>
      <c r="I110" s="185"/>
      <c r="J110" s="185"/>
    </row>
    <row r="111" spans="1:10">
      <c r="A111" s="185"/>
      <c r="B111" s="185"/>
      <c r="C111" s="185"/>
      <c r="D111" s="185"/>
      <c r="E111" s="191"/>
      <c r="F111" s="185"/>
      <c r="G111" s="185"/>
      <c r="H111" s="185"/>
      <c r="I111" s="185"/>
      <c r="J111" s="185"/>
    </row>
    <row r="112" spans="1:10">
      <c r="A112" s="185"/>
      <c r="B112" s="185"/>
      <c r="C112" s="185"/>
      <c r="D112" s="185"/>
      <c r="E112" s="191"/>
      <c r="F112" s="185"/>
      <c r="G112" s="185"/>
      <c r="H112" s="185"/>
      <c r="I112" s="185"/>
      <c r="J112" s="185"/>
    </row>
    <row r="113" spans="1:10">
      <c r="A113" s="185"/>
      <c r="B113" s="185"/>
      <c r="C113" s="185"/>
      <c r="D113" s="185"/>
      <c r="E113" s="191"/>
      <c r="F113" s="185"/>
      <c r="G113" s="185"/>
      <c r="H113" s="185"/>
      <c r="I113" s="185"/>
      <c r="J113" s="185"/>
    </row>
    <row r="114" spans="1:10">
      <c r="A114" s="185"/>
      <c r="B114" s="185"/>
      <c r="C114" s="185"/>
      <c r="D114" s="185"/>
      <c r="E114" s="191"/>
      <c r="F114" s="185"/>
      <c r="G114" s="185"/>
      <c r="H114" s="185"/>
      <c r="I114" s="185"/>
      <c r="J114" s="185"/>
    </row>
    <row r="115" spans="1:10">
      <c r="A115" s="185"/>
      <c r="B115" s="185"/>
      <c r="C115" s="185"/>
      <c r="D115" s="185"/>
      <c r="E115" s="191"/>
      <c r="F115" s="185"/>
      <c r="G115" s="185"/>
      <c r="H115" s="185"/>
      <c r="I115" s="185"/>
      <c r="J115" s="185"/>
    </row>
    <row r="116" spans="1:10">
      <c r="A116" s="185"/>
      <c r="B116" s="185"/>
      <c r="C116" s="185"/>
      <c r="D116" s="185"/>
      <c r="E116" s="191"/>
      <c r="F116" s="185"/>
      <c r="G116" s="185"/>
      <c r="H116" s="185"/>
      <c r="I116" s="185"/>
      <c r="J116" s="185"/>
    </row>
    <row r="117" spans="1:10">
      <c r="A117" s="185"/>
      <c r="B117" s="185"/>
      <c r="C117" s="185"/>
      <c r="D117" s="185"/>
      <c r="E117" s="191"/>
      <c r="F117" s="185"/>
      <c r="G117" s="185"/>
      <c r="H117" s="185"/>
      <c r="I117" s="185"/>
      <c r="J117" s="185"/>
    </row>
    <row r="118" spans="1:10">
      <c r="A118" s="185"/>
      <c r="B118" s="185"/>
      <c r="C118" s="185"/>
      <c r="D118" s="185"/>
      <c r="E118" s="191"/>
      <c r="F118" s="185"/>
      <c r="G118" s="185"/>
      <c r="H118" s="185"/>
      <c r="I118" s="185"/>
      <c r="J118" s="185"/>
    </row>
    <row r="119" spans="1:10">
      <c r="A119" s="185"/>
      <c r="B119" s="185"/>
      <c r="C119" s="185"/>
      <c r="D119" s="185"/>
      <c r="E119" s="191"/>
      <c r="F119" s="185"/>
      <c r="G119" s="185"/>
      <c r="H119" s="185"/>
      <c r="I119" s="185"/>
      <c r="J119" s="185"/>
    </row>
    <row r="120" spans="1:10">
      <c r="A120" s="185"/>
      <c r="B120" s="185"/>
      <c r="C120" s="185"/>
      <c r="D120" s="185"/>
      <c r="E120" s="191"/>
      <c r="F120" s="185"/>
      <c r="G120" s="185"/>
      <c r="H120" s="185"/>
      <c r="I120" s="185"/>
      <c r="J120" s="185"/>
    </row>
    <row r="121" spans="1:10">
      <c r="A121" s="185"/>
      <c r="B121" s="185"/>
      <c r="C121" s="185"/>
      <c r="D121" s="185"/>
      <c r="E121" s="191"/>
      <c r="F121" s="185"/>
      <c r="G121" s="185"/>
      <c r="H121" s="185"/>
      <c r="I121" s="185"/>
      <c r="J121" s="185"/>
    </row>
    <row r="122" spans="1:10">
      <c r="A122" s="185"/>
      <c r="B122" s="185"/>
      <c r="C122" s="185"/>
      <c r="D122" s="185"/>
      <c r="E122" s="191"/>
      <c r="F122" s="185"/>
      <c r="G122" s="185"/>
      <c r="H122" s="185"/>
      <c r="I122" s="185"/>
      <c r="J122" s="185"/>
    </row>
    <row r="123" spans="1:10">
      <c r="A123" s="185"/>
      <c r="B123" s="185"/>
      <c r="C123" s="185"/>
      <c r="D123" s="185"/>
      <c r="E123" s="191"/>
      <c r="F123" s="185"/>
      <c r="G123" s="185"/>
      <c r="H123" s="185"/>
      <c r="I123" s="185"/>
      <c r="J123" s="185"/>
    </row>
    <row r="124" spans="1:10">
      <c r="A124" s="185"/>
      <c r="B124" s="185"/>
      <c r="C124" s="185"/>
      <c r="D124" s="185"/>
      <c r="E124" s="191"/>
      <c r="F124" s="185"/>
      <c r="G124" s="185"/>
      <c r="H124" s="185"/>
      <c r="I124" s="185"/>
      <c r="J124" s="185"/>
    </row>
    <row r="125" spans="1:10">
      <c r="A125" s="185"/>
      <c r="B125" s="185"/>
      <c r="C125" s="185"/>
      <c r="D125" s="185"/>
      <c r="E125" s="191"/>
      <c r="F125" s="185"/>
      <c r="G125" s="185"/>
      <c r="H125" s="185"/>
      <c r="I125" s="185"/>
      <c r="J125" s="185"/>
    </row>
    <row r="126" spans="1:10">
      <c r="A126" s="185"/>
      <c r="B126" s="185"/>
      <c r="C126" s="185"/>
      <c r="D126" s="185"/>
      <c r="E126" s="191"/>
      <c r="F126" s="185"/>
      <c r="G126" s="185"/>
      <c r="H126" s="185"/>
      <c r="I126" s="185"/>
      <c r="J126" s="185"/>
    </row>
    <row r="127" spans="1:10">
      <c r="A127" s="185"/>
      <c r="B127" s="185"/>
      <c r="C127" s="185"/>
      <c r="D127" s="185"/>
      <c r="E127" s="191"/>
      <c r="F127" s="185"/>
      <c r="G127" s="185"/>
      <c r="H127" s="185"/>
      <c r="I127" s="185"/>
      <c r="J127" s="185"/>
    </row>
    <row r="128" spans="1:10">
      <c r="A128" s="185"/>
      <c r="B128" s="185"/>
      <c r="C128" s="185"/>
      <c r="D128" s="185"/>
      <c r="E128" s="191"/>
      <c r="F128" s="185"/>
      <c r="G128" s="185"/>
      <c r="H128" s="185"/>
      <c r="I128" s="185"/>
      <c r="J128" s="185"/>
    </row>
    <row r="129" spans="1:10">
      <c r="A129" s="185"/>
      <c r="B129" s="185"/>
      <c r="C129" s="185"/>
      <c r="D129" s="185"/>
      <c r="E129" s="191"/>
      <c r="F129" s="185"/>
      <c r="G129" s="185"/>
      <c r="H129" s="185"/>
      <c r="I129" s="185"/>
      <c r="J129" s="185"/>
    </row>
    <row r="130" spans="1:10">
      <c r="A130" s="185"/>
      <c r="B130" s="185"/>
      <c r="C130" s="185"/>
      <c r="D130" s="185"/>
      <c r="E130" s="191"/>
      <c r="F130" s="185"/>
      <c r="G130" s="185"/>
      <c r="H130" s="185"/>
      <c r="I130" s="185"/>
      <c r="J130" s="185"/>
    </row>
    <row r="131" spans="1:10">
      <c r="A131" s="185"/>
      <c r="B131" s="185"/>
      <c r="C131" s="185"/>
      <c r="D131" s="185"/>
      <c r="E131" s="191"/>
      <c r="F131" s="185"/>
      <c r="G131" s="185"/>
      <c r="H131" s="185"/>
      <c r="I131" s="185"/>
      <c r="J131" s="185"/>
    </row>
    <row r="132" spans="1:10">
      <c r="A132" s="185"/>
      <c r="B132" s="185"/>
      <c r="C132" s="185"/>
      <c r="D132" s="185"/>
      <c r="E132" s="191"/>
      <c r="F132" s="185"/>
      <c r="G132" s="185"/>
      <c r="H132" s="185"/>
      <c r="I132" s="185"/>
      <c r="J132" s="185"/>
    </row>
    <row r="133" spans="1:10">
      <c r="A133" s="185"/>
      <c r="B133" s="185"/>
      <c r="C133" s="185"/>
      <c r="D133" s="185"/>
      <c r="E133" s="191"/>
      <c r="F133" s="185"/>
      <c r="G133" s="185"/>
      <c r="H133" s="185"/>
      <c r="I133" s="185"/>
      <c r="J133" s="185"/>
    </row>
    <row r="134" spans="1:10">
      <c r="A134" s="185"/>
      <c r="B134" s="185"/>
      <c r="C134" s="185"/>
      <c r="D134" s="185"/>
      <c r="E134" s="191"/>
      <c r="F134" s="185"/>
      <c r="G134" s="185"/>
      <c r="H134" s="185"/>
      <c r="I134" s="185"/>
      <c r="J134" s="185"/>
    </row>
    <row r="135" spans="1:10">
      <c r="A135" s="185"/>
      <c r="B135" s="185"/>
      <c r="C135" s="185"/>
      <c r="D135" s="185"/>
      <c r="E135" s="191"/>
      <c r="F135" s="185"/>
      <c r="G135" s="185"/>
      <c r="H135" s="185"/>
      <c r="I135" s="185"/>
      <c r="J135" s="185"/>
    </row>
    <row r="136" spans="1:10">
      <c r="A136" s="185"/>
      <c r="B136" s="185"/>
      <c r="C136" s="185"/>
      <c r="D136" s="185"/>
      <c r="E136" s="191"/>
      <c r="F136" s="185"/>
      <c r="G136" s="185"/>
      <c r="H136" s="185"/>
      <c r="I136" s="185"/>
      <c r="J136" s="185"/>
    </row>
    <row r="137" spans="1:10">
      <c r="A137" s="185"/>
      <c r="B137" s="185"/>
      <c r="C137" s="185"/>
      <c r="D137" s="185"/>
      <c r="E137" s="191"/>
      <c r="F137" s="185"/>
      <c r="G137" s="185"/>
      <c r="H137" s="185"/>
      <c r="I137" s="185"/>
      <c r="J137" s="185"/>
    </row>
    <row r="138" spans="1:10">
      <c r="A138" s="185"/>
      <c r="B138" s="185"/>
      <c r="C138" s="185"/>
      <c r="D138" s="185"/>
      <c r="E138" s="191"/>
      <c r="F138" s="185"/>
      <c r="G138" s="185"/>
      <c r="H138" s="185"/>
      <c r="I138" s="185"/>
      <c r="J138" s="185"/>
    </row>
    <row r="139" spans="1:10">
      <c r="A139" s="185"/>
      <c r="B139" s="185"/>
      <c r="C139" s="185"/>
      <c r="D139" s="185"/>
      <c r="E139" s="191"/>
      <c r="F139" s="185"/>
      <c r="G139" s="185"/>
      <c r="H139" s="185"/>
      <c r="I139" s="185"/>
      <c r="J139" s="185"/>
    </row>
    <row r="140" spans="1:10">
      <c r="A140" s="185"/>
      <c r="B140" s="185"/>
      <c r="C140" s="185"/>
      <c r="D140" s="185"/>
      <c r="E140" s="191"/>
      <c r="F140" s="185"/>
      <c r="G140" s="185"/>
      <c r="H140" s="185"/>
      <c r="I140" s="185"/>
      <c r="J140" s="185"/>
    </row>
    <row r="141" spans="1:10">
      <c r="A141" s="185"/>
      <c r="B141" s="185"/>
      <c r="C141" s="185"/>
      <c r="D141" s="185"/>
      <c r="E141" s="191"/>
      <c r="F141" s="185"/>
      <c r="G141" s="185"/>
      <c r="H141" s="185"/>
      <c r="I141" s="185"/>
      <c r="J141" s="185"/>
    </row>
    <row r="142" spans="1:10">
      <c r="A142" s="185"/>
      <c r="B142" s="185"/>
      <c r="C142" s="185"/>
      <c r="D142" s="185"/>
      <c r="E142" s="191"/>
      <c r="F142" s="185"/>
      <c r="G142" s="185"/>
      <c r="H142" s="185"/>
      <c r="I142" s="185"/>
      <c r="J142" s="185"/>
    </row>
    <row r="143" spans="1:10">
      <c r="A143" s="185"/>
      <c r="B143" s="185"/>
      <c r="C143" s="185"/>
      <c r="D143" s="185"/>
      <c r="E143" s="191"/>
      <c r="F143" s="185"/>
      <c r="G143" s="185"/>
      <c r="H143" s="185"/>
      <c r="I143" s="185"/>
      <c r="J143" s="185"/>
    </row>
    <row r="144" spans="1:10">
      <c r="A144" s="185"/>
      <c r="B144" s="185"/>
      <c r="C144" s="185"/>
      <c r="D144" s="185"/>
      <c r="E144" s="191"/>
      <c r="F144" s="185"/>
      <c r="G144" s="185"/>
      <c r="H144" s="185"/>
      <c r="I144" s="185"/>
      <c r="J144" s="185"/>
    </row>
    <row r="145" spans="1:10">
      <c r="A145" s="185"/>
      <c r="B145" s="185"/>
      <c r="C145" s="185"/>
      <c r="D145" s="185"/>
      <c r="E145" s="191"/>
      <c r="F145" s="185"/>
      <c r="G145" s="185"/>
      <c r="H145" s="185"/>
      <c r="I145" s="185"/>
      <c r="J145" s="185"/>
    </row>
    <row r="146" spans="1:10">
      <c r="A146" s="185"/>
      <c r="B146" s="185"/>
      <c r="C146" s="185"/>
      <c r="D146" s="185"/>
      <c r="E146" s="191"/>
      <c r="F146" s="185"/>
      <c r="G146" s="185"/>
      <c r="H146" s="185"/>
      <c r="I146" s="185"/>
      <c r="J146" s="185"/>
    </row>
    <row r="147" spans="1:10">
      <c r="A147" s="185"/>
      <c r="B147" s="185"/>
      <c r="C147" s="185"/>
      <c r="D147" s="185"/>
      <c r="E147" s="191"/>
      <c r="F147" s="185"/>
      <c r="G147" s="185"/>
      <c r="H147" s="185"/>
      <c r="I147" s="185"/>
      <c r="J147" s="185"/>
    </row>
    <row r="148" spans="1:10">
      <c r="A148" s="185"/>
      <c r="B148" s="185"/>
      <c r="C148" s="185"/>
      <c r="D148" s="185"/>
      <c r="E148" s="191"/>
      <c r="F148" s="185"/>
      <c r="G148" s="185"/>
      <c r="H148" s="185"/>
      <c r="I148" s="185"/>
      <c r="J148" s="185"/>
    </row>
    <row r="149" spans="1:10">
      <c r="A149" s="185"/>
      <c r="B149" s="185"/>
      <c r="C149" s="185"/>
      <c r="D149" s="185"/>
      <c r="E149" s="191"/>
      <c r="F149" s="185"/>
      <c r="G149" s="185"/>
      <c r="H149" s="185"/>
      <c r="I149" s="185"/>
      <c r="J149" s="185"/>
    </row>
    <row r="150" spans="1:10">
      <c r="A150" s="185"/>
      <c r="B150" s="185"/>
      <c r="C150" s="185"/>
      <c r="D150" s="185"/>
      <c r="E150" s="191"/>
      <c r="F150" s="185"/>
      <c r="G150" s="185"/>
      <c r="H150" s="185"/>
      <c r="I150" s="185"/>
      <c r="J150" s="185"/>
    </row>
    <row r="151" spans="1:10">
      <c r="A151" s="185"/>
      <c r="B151" s="185"/>
      <c r="C151" s="185"/>
      <c r="D151" s="185"/>
      <c r="E151" s="191"/>
      <c r="F151" s="185"/>
      <c r="G151" s="185"/>
      <c r="H151" s="185"/>
      <c r="I151" s="185"/>
      <c r="J151" s="185"/>
    </row>
    <row r="152" spans="1:10">
      <c r="A152" s="185"/>
      <c r="B152" s="185"/>
      <c r="C152" s="185"/>
      <c r="D152" s="185"/>
      <c r="E152" s="191"/>
      <c r="F152" s="185"/>
      <c r="G152" s="185"/>
      <c r="H152" s="185"/>
      <c r="I152" s="185"/>
      <c r="J152" s="185"/>
    </row>
    <row r="153" spans="1:10">
      <c r="A153" s="185"/>
      <c r="B153" s="185"/>
      <c r="C153" s="185"/>
      <c r="D153" s="185"/>
      <c r="E153" s="191"/>
      <c r="F153" s="185"/>
      <c r="G153" s="185"/>
      <c r="H153" s="185"/>
      <c r="I153" s="185"/>
      <c r="J153" s="185"/>
    </row>
    <row r="154" spans="1:10">
      <c r="A154" s="185"/>
      <c r="B154" s="185"/>
      <c r="C154" s="185"/>
      <c r="D154" s="185"/>
      <c r="E154" s="191"/>
      <c r="F154" s="185"/>
      <c r="G154" s="185"/>
      <c r="H154" s="185"/>
      <c r="I154" s="185"/>
      <c r="J154" s="185"/>
    </row>
    <row r="155" spans="1:10">
      <c r="A155" s="185"/>
      <c r="B155" s="185"/>
      <c r="C155" s="185"/>
      <c r="D155" s="185"/>
      <c r="E155" s="191"/>
      <c r="F155" s="185"/>
      <c r="G155" s="185"/>
      <c r="H155" s="185"/>
      <c r="I155" s="185"/>
      <c r="J155" s="185"/>
    </row>
    <row r="156" spans="1:10">
      <c r="A156" s="185"/>
      <c r="B156" s="185"/>
      <c r="C156" s="185"/>
      <c r="D156" s="185"/>
      <c r="E156" s="191"/>
      <c r="F156" s="185"/>
      <c r="G156" s="185"/>
      <c r="H156" s="185"/>
      <c r="I156" s="185"/>
      <c r="J156" s="185"/>
    </row>
    <row r="157" spans="1:10">
      <c r="A157" s="185"/>
      <c r="B157" s="185"/>
      <c r="C157" s="185"/>
      <c r="D157" s="185"/>
      <c r="E157" s="191"/>
      <c r="F157" s="185"/>
      <c r="G157" s="185"/>
      <c r="H157" s="185"/>
      <c r="I157" s="185"/>
      <c r="J157" s="185"/>
    </row>
    <row r="158" spans="1:10">
      <c r="A158" s="185"/>
      <c r="B158" s="185"/>
      <c r="C158" s="185"/>
      <c r="D158" s="185"/>
      <c r="E158" s="191"/>
      <c r="F158" s="185"/>
      <c r="G158" s="185"/>
      <c r="H158" s="185"/>
      <c r="I158" s="185"/>
      <c r="J158" s="185"/>
    </row>
    <row r="159" spans="1:10">
      <c r="A159" s="185"/>
      <c r="B159" s="185"/>
      <c r="C159" s="185"/>
      <c r="D159" s="185"/>
      <c r="E159" s="191"/>
      <c r="F159" s="185"/>
      <c r="G159" s="185"/>
      <c r="H159" s="185"/>
      <c r="I159" s="185"/>
      <c r="J159" s="185"/>
    </row>
    <row r="160" spans="1:10">
      <c r="A160" s="185"/>
      <c r="B160" s="185"/>
      <c r="C160" s="185"/>
      <c r="D160" s="185"/>
      <c r="E160" s="191"/>
      <c r="F160" s="185"/>
      <c r="G160" s="185"/>
      <c r="H160" s="185"/>
      <c r="I160" s="185"/>
      <c r="J160" s="185"/>
    </row>
    <row r="161" spans="1:10">
      <c r="A161" s="185"/>
      <c r="B161" s="185"/>
      <c r="C161" s="185"/>
      <c r="D161" s="185"/>
      <c r="E161" s="191"/>
      <c r="F161" s="185"/>
      <c r="G161" s="185"/>
      <c r="H161" s="185"/>
      <c r="I161" s="185"/>
      <c r="J161" s="185"/>
    </row>
    <row r="162" spans="1:10">
      <c r="A162" s="185"/>
      <c r="B162" s="185"/>
      <c r="C162" s="185"/>
      <c r="D162" s="185"/>
      <c r="E162" s="191"/>
      <c r="F162" s="185"/>
      <c r="G162" s="185"/>
      <c r="H162" s="185"/>
      <c r="I162" s="185"/>
      <c r="J162" s="185"/>
    </row>
    <row r="163" spans="1:10">
      <c r="A163" s="185"/>
      <c r="B163" s="185"/>
      <c r="C163" s="185"/>
      <c r="D163" s="185"/>
      <c r="E163" s="191"/>
      <c r="F163" s="185"/>
      <c r="G163" s="185"/>
      <c r="H163" s="185"/>
      <c r="I163" s="185"/>
      <c r="J163" s="185"/>
    </row>
    <row r="164" spans="1:10">
      <c r="A164" s="185"/>
      <c r="B164" s="185"/>
      <c r="C164" s="185"/>
      <c r="D164" s="185"/>
      <c r="E164" s="191"/>
      <c r="F164" s="185"/>
      <c r="G164" s="185"/>
      <c r="H164" s="185"/>
      <c r="I164" s="185"/>
      <c r="J164" s="185"/>
    </row>
    <row r="165" spans="1:10">
      <c r="A165" s="185"/>
      <c r="B165" s="185"/>
      <c r="C165" s="185"/>
      <c r="D165" s="185"/>
      <c r="E165" s="191"/>
      <c r="F165" s="185"/>
      <c r="G165" s="185"/>
      <c r="H165" s="185"/>
      <c r="I165" s="185"/>
      <c r="J165" s="185"/>
    </row>
    <row r="166" spans="1:10">
      <c r="A166" s="185"/>
      <c r="B166" s="185"/>
      <c r="C166" s="185"/>
      <c r="D166" s="185"/>
      <c r="E166" s="191"/>
      <c r="F166" s="185"/>
      <c r="G166" s="185"/>
      <c r="H166" s="185"/>
      <c r="I166" s="185"/>
      <c r="J166" s="185"/>
    </row>
    <row r="167" spans="1:10">
      <c r="A167" s="185"/>
      <c r="B167" s="185"/>
      <c r="C167" s="185"/>
      <c r="D167" s="185"/>
      <c r="E167" s="191"/>
      <c r="F167" s="185"/>
      <c r="G167" s="185"/>
      <c r="H167" s="185"/>
      <c r="I167" s="185"/>
      <c r="J167" s="185"/>
    </row>
    <row r="168" spans="1:10">
      <c r="A168" s="185"/>
      <c r="B168" s="185"/>
      <c r="C168" s="185"/>
      <c r="D168" s="185"/>
      <c r="E168" s="191"/>
      <c r="F168" s="185"/>
      <c r="G168" s="185"/>
      <c r="H168" s="185"/>
      <c r="I168" s="185"/>
      <c r="J168" s="185"/>
    </row>
    <row r="169" spans="1:10">
      <c r="A169" s="185"/>
      <c r="B169" s="185"/>
      <c r="C169" s="185"/>
      <c r="D169" s="185"/>
      <c r="E169" s="191"/>
      <c r="F169" s="185"/>
      <c r="G169" s="185"/>
      <c r="H169" s="185"/>
      <c r="I169" s="185"/>
      <c r="J169" s="185"/>
    </row>
    <row r="170" spans="1:10">
      <c r="A170" s="185"/>
      <c r="B170" s="185"/>
      <c r="C170" s="185"/>
      <c r="D170" s="185"/>
      <c r="E170" s="191"/>
      <c r="F170" s="185"/>
      <c r="G170" s="185"/>
      <c r="H170" s="185"/>
      <c r="I170" s="185"/>
      <c r="J170" s="185"/>
    </row>
    <row r="171" spans="1:10">
      <c r="A171" s="185"/>
      <c r="B171" s="185"/>
      <c r="C171" s="185"/>
      <c r="D171" s="185"/>
      <c r="E171" s="191"/>
      <c r="F171" s="185"/>
      <c r="G171" s="185"/>
      <c r="H171" s="185"/>
      <c r="I171" s="185"/>
      <c r="J171" s="185"/>
    </row>
    <row r="172" spans="1:10">
      <c r="A172" s="185"/>
      <c r="B172" s="185"/>
      <c r="C172" s="185"/>
      <c r="D172" s="185"/>
      <c r="E172" s="191"/>
      <c r="F172" s="185"/>
      <c r="G172" s="185"/>
      <c r="H172" s="185"/>
      <c r="I172" s="185"/>
      <c r="J172" s="185"/>
    </row>
    <row r="173" spans="1:10">
      <c r="A173" s="185"/>
      <c r="B173" s="185"/>
      <c r="C173" s="185"/>
      <c r="D173" s="185"/>
      <c r="E173" s="191"/>
      <c r="F173" s="185"/>
      <c r="G173" s="185"/>
      <c r="H173" s="185"/>
      <c r="I173" s="185"/>
      <c r="J173" s="185"/>
    </row>
    <row r="174" spans="1:10">
      <c r="A174" s="185"/>
      <c r="B174" s="185"/>
      <c r="C174" s="185"/>
      <c r="D174" s="185"/>
      <c r="E174" s="191"/>
      <c r="F174" s="185"/>
      <c r="G174" s="185"/>
      <c r="H174" s="185"/>
      <c r="I174" s="185"/>
      <c r="J174" s="185"/>
    </row>
    <row r="175" spans="1:10">
      <c r="A175" s="185"/>
      <c r="B175" s="185"/>
      <c r="C175" s="185"/>
      <c r="D175" s="185"/>
      <c r="E175" s="191"/>
      <c r="F175" s="185"/>
      <c r="G175" s="185"/>
      <c r="H175" s="185"/>
      <c r="I175" s="185"/>
      <c r="J175" s="185"/>
    </row>
    <row r="176" spans="1:10">
      <c r="A176" s="185"/>
      <c r="B176" s="185"/>
      <c r="C176" s="185"/>
      <c r="D176" s="185"/>
      <c r="E176" s="191"/>
      <c r="F176" s="185"/>
      <c r="G176" s="185"/>
      <c r="H176" s="185"/>
      <c r="I176" s="185"/>
      <c r="J176" s="185"/>
    </row>
    <row r="177" spans="1:10">
      <c r="A177" s="185"/>
      <c r="B177" s="185"/>
      <c r="C177" s="185"/>
      <c r="D177" s="185"/>
      <c r="E177" s="191"/>
      <c r="F177" s="185"/>
      <c r="G177" s="185"/>
      <c r="H177" s="185"/>
      <c r="I177" s="185"/>
      <c r="J177" s="185"/>
    </row>
    <row r="178" spans="1:10">
      <c r="A178" s="185"/>
      <c r="B178" s="185"/>
      <c r="C178" s="185"/>
      <c r="D178" s="185"/>
      <c r="E178" s="191"/>
      <c r="F178" s="185"/>
      <c r="G178" s="185"/>
      <c r="H178" s="185"/>
      <c r="I178" s="185"/>
      <c r="J178" s="185"/>
    </row>
    <row r="179" spans="1:10">
      <c r="A179" s="185"/>
      <c r="B179" s="185"/>
      <c r="C179" s="185"/>
      <c r="D179" s="185"/>
      <c r="E179" s="191"/>
      <c r="F179" s="185"/>
      <c r="G179" s="185"/>
      <c r="H179" s="185"/>
      <c r="I179" s="185"/>
      <c r="J179" s="185"/>
    </row>
    <row r="180" spans="1:10">
      <c r="A180" s="185"/>
      <c r="B180" s="185"/>
      <c r="C180" s="185"/>
      <c r="D180" s="185"/>
      <c r="E180" s="191"/>
      <c r="F180" s="185"/>
      <c r="G180" s="185"/>
      <c r="H180" s="185"/>
      <c r="I180" s="185"/>
      <c r="J180" s="185"/>
    </row>
    <row r="181" spans="1:10">
      <c r="A181" s="185"/>
      <c r="B181" s="185"/>
      <c r="C181" s="185"/>
      <c r="D181" s="185"/>
      <c r="E181" s="191"/>
      <c r="F181" s="185"/>
      <c r="G181" s="185"/>
      <c r="H181" s="185"/>
      <c r="I181" s="185"/>
      <c r="J181" s="185"/>
    </row>
    <row r="182" spans="1:10">
      <c r="A182" s="185"/>
      <c r="B182" s="185"/>
      <c r="C182" s="185"/>
      <c r="D182" s="185"/>
      <c r="E182" s="191"/>
      <c r="F182" s="185"/>
      <c r="G182" s="185"/>
      <c r="H182" s="185"/>
      <c r="I182" s="185"/>
      <c r="J182" s="185"/>
    </row>
    <row r="183" spans="1:10">
      <c r="A183" s="185"/>
      <c r="B183" s="185"/>
      <c r="C183" s="185"/>
      <c r="D183" s="185"/>
      <c r="E183" s="191"/>
      <c r="F183" s="185"/>
      <c r="G183" s="185"/>
      <c r="H183" s="185"/>
      <c r="I183" s="185"/>
      <c r="J183" s="185"/>
    </row>
    <row r="184" spans="1:10">
      <c r="A184" s="185"/>
      <c r="B184" s="185"/>
      <c r="C184" s="185"/>
      <c r="D184" s="185"/>
      <c r="E184" s="191"/>
      <c r="F184" s="185"/>
      <c r="G184" s="185"/>
      <c r="H184" s="185"/>
      <c r="I184" s="185"/>
      <c r="J184" s="185"/>
    </row>
    <row r="185" spans="1:10">
      <c r="A185" s="185"/>
      <c r="B185" s="185"/>
      <c r="C185" s="185"/>
      <c r="D185" s="185"/>
      <c r="E185" s="191"/>
      <c r="F185" s="185"/>
      <c r="G185" s="185"/>
      <c r="H185" s="185"/>
      <c r="I185" s="185"/>
      <c r="J185" s="185"/>
    </row>
    <row r="186" spans="1:10">
      <c r="A186" s="185"/>
      <c r="B186" s="185"/>
      <c r="C186" s="185"/>
      <c r="D186" s="185"/>
      <c r="E186" s="191"/>
      <c r="F186" s="185"/>
      <c r="G186" s="185"/>
      <c r="H186" s="185"/>
      <c r="I186" s="185"/>
      <c r="J186" s="185"/>
    </row>
    <row r="187" spans="1:10">
      <c r="A187" s="185"/>
      <c r="B187" s="185"/>
      <c r="C187" s="185"/>
      <c r="D187" s="185"/>
      <c r="E187" s="191"/>
      <c r="F187" s="185"/>
      <c r="G187" s="185"/>
      <c r="H187" s="185"/>
      <c r="I187" s="185"/>
      <c r="J187" s="185"/>
    </row>
    <row r="188" spans="1:10">
      <c r="A188" s="185"/>
      <c r="B188" s="185"/>
      <c r="C188" s="185"/>
      <c r="D188" s="185"/>
      <c r="E188" s="191"/>
      <c r="F188" s="185"/>
      <c r="G188" s="185"/>
      <c r="H188" s="185"/>
      <c r="I188" s="185"/>
      <c r="J188" s="185"/>
    </row>
    <row r="189" spans="1:10">
      <c r="A189" s="185"/>
      <c r="B189" s="185"/>
      <c r="C189" s="185"/>
      <c r="D189" s="185"/>
      <c r="E189" s="191"/>
      <c r="F189" s="185"/>
      <c r="G189" s="185"/>
      <c r="H189" s="185"/>
      <c r="I189" s="185"/>
      <c r="J189" s="185"/>
    </row>
    <row r="190" spans="1:10">
      <c r="A190" s="185"/>
      <c r="B190" s="185"/>
      <c r="C190" s="185"/>
      <c r="D190" s="185"/>
      <c r="E190" s="191"/>
      <c r="F190" s="185"/>
      <c r="G190" s="185"/>
      <c r="H190" s="185"/>
      <c r="I190" s="185"/>
      <c r="J190" s="185"/>
    </row>
    <row r="191" spans="1:10">
      <c r="A191" s="185"/>
      <c r="B191" s="185"/>
      <c r="C191" s="185"/>
      <c r="D191" s="185"/>
      <c r="E191" s="191"/>
      <c r="F191" s="185"/>
      <c r="G191" s="185"/>
      <c r="H191" s="185"/>
      <c r="I191" s="185"/>
      <c r="J191" s="185"/>
    </row>
    <row r="192" spans="1:10">
      <c r="A192" s="185"/>
      <c r="B192" s="185"/>
      <c r="C192" s="185"/>
      <c r="D192" s="185"/>
      <c r="E192" s="191"/>
      <c r="F192" s="185"/>
      <c r="G192" s="185"/>
      <c r="H192" s="185"/>
      <c r="I192" s="185"/>
      <c r="J192" s="185"/>
    </row>
    <row r="193" spans="1:10">
      <c r="A193" s="185"/>
      <c r="B193" s="185"/>
      <c r="C193" s="185"/>
      <c r="D193" s="185"/>
      <c r="E193" s="191"/>
      <c r="F193" s="185"/>
      <c r="G193" s="185"/>
      <c r="H193" s="185"/>
      <c r="I193" s="185"/>
      <c r="J193" s="185"/>
    </row>
    <row r="194" spans="1:10">
      <c r="A194" s="185"/>
      <c r="B194" s="185"/>
      <c r="C194" s="185"/>
      <c r="D194" s="185"/>
      <c r="E194" s="191"/>
      <c r="F194" s="185"/>
      <c r="G194" s="185"/>
      <c r="H194" s="185"/>
      <c r="I194" s="185"/>
      <c r="J194" s="185"/>
    </row>
    <row r="195" spans="1:10">
      <c r="A195" s="185"/>
      <c r="B195" s="185"/>
      <c r="C195" s="185"/>
      <c r="D195" s="185"/>
      <c r="E195" s="191"/>
      <c r="F195" s="185"/>
      <c r="G195" s="185"/>
      <c r="H195" s="185"/>
      <c r="I195" s="185"/>
      <c r="J195" s="185"/>
    </row>
    <row r="196" spans="1:10">
      <c r="A196" s="185"/>
      <c r="B196" s="185"/>
      <c r="C196" s="185"/>
      <c r="D196" s="185"/>
      <c r="E196" s="191"/>
      <c r="F196" s="185"/>
      <c r="G196" s="185"/>
      <c r="H196" s="185"/>
      <c r="I196" s="185"/>
      <c r="J196" s="185"/>
    </row>
    <row r="197" spans="1:10">
      <c r="A197" s="185"/>
      <c r="B197" s="185"/>
      <c r="C197" s="185"/>
      <c r="D197" s="185"/>
      <c r="E197" s="191"/>
      <c r="F197" s="185"/>
      <c r="G197" s="185"/>
      <c r="H197" s="185"/>
      <c r="I197" s="185"/>
      <c r="J197" s="185"/>
    </row>
    <row r="198" spans="1:10">
      <c r="A198" s="185"/>
      <c r="B198" s="185"/>
      <c r="C198" s="185"/>
      <c r="D198" s="185"/>
      <c r="E198" s="191"/>
      <c r="F198" s="185"/>
      <c r="G198" s="185"/>
      <c r="H198" s="185"/>
      <c r="I198" s="185"/>
      <c r="J198" s="185"/>
    </row>
    <row r="199" spans="1:10">
      <c r="A199" s="185"/>
      <c r="B199" s="185"/>
      <c r="C199" s="185"/>
      <c r="D199" s="185"/>
      <c r="E199" s="191"/>
      <c r="F199" s="185"/>
      <c r="G199" s="185"/>
      <c r="H199" s="185"/>
      <c r="I199" s="185"/>
      <c r="J199" s="185"/>
    </row>
    <row r="200" spans="1:10">
      <c r="A200" s="185"/>
      <c r="B200" s="185"/>
      <c r="C200" s="185"/>
      <c r="D200" s="185"/>
      <c r="E200" s="191"/>
      <c r="F200" s="185"/>
      <c r="G200" s="185"/>
      <c r="H200" s="185"/>
      <c r="I200" s="185"/>
      <c r="J200" s="185"/>
    </row>
    <row r="201" spans="1:10">
      <c r="A201" s="185"/>
      <c r="B201" s="185"/>
      <c r="C201" s="185"/>
      <c r="D201" s="185"/>
      <c r="E201" s="191"/>
      <c r="F201" s="185"/>
      <c r="G201" s="185"/>
      <c r="H201" s="185"/>
      <c r="I201" s="185"/>
      <c r="J201" s="185"/>
    </row>
    <row r="202" spans="1:10">
      <c r="A202" s="185"/>
      <c r="B202" s="185"/>
      <c r="C202" s="185"/>
      <c r="D202" s="185"/>
      <c r="E202" s="191"/>
      <c r="F202" s="185"/>
      <c r="G202" s="185"/>
      <c r="H202" s="185"/>
      <c r="I202" s="185"/>
      <c r="J202" s="185"/>
    </row>
    <row r="203" spans="1:10">
      <c r="A203" s="185"/>
      <c r="B203" s="185"/>
      <c r="C203" s="185"/>
      <c r="D203" s="185"/>
      <c r="E203" s="191"/>
      <c r="F203" s="185"/>
      <c r="G203" s="185"/>
      <c r="H203" s="185"/>
      <c r="I203" s="185"/>
      <c r="J203" s="185"/>
    </row>
    <row r="204" spans="1:10">
      <c r="A204" s="185"/>
      <c r="B204" s="185"/>
      <c r="C204" s="185"/>
      <c r="D204" s="185"/>
      <c r="E204" s="191"/>
      <c r="F204" s="185"/>
      <c r="G204" s="185"/>
      <c r="H204" s="185"/>
      <c r="I204" s="185"/>
      <c r="J204" s="185"/>
    </row>
    <row r="205" spans="1:10">
      <c r="A205" s="185"/>
      <c r="B205" s="185"/>
      <c r="C205" s="185"/>
      <c r="D205" s="185"/>
      <c r="E205" s="191"/>
      <c r="F205" s="185"/>
      <c r="G205" s="185"/>
      <c r="H205" s="185"/>
      <c r="I205" s="185"/>
      <c r="J205" s="185"/>
    </row>
    <row r="206" spans="1:10">
      <c r="A206" s="185"/>
      <c r="B206" s="185"/>
      <c r="C206" s="185"/>
      <c r="D206" s="185"/>
      <c r="E206" s="191"/>
      <c r="F206" s="185"/>
      <c r="G206" s="185"/>
      <c r="H206" s="185"/>
      <c r="I206" s="185"/>
      <c r="J206" s="185"/>
    </row>
    <row r="207" spans="1:10">
      <c r="A207" s="185"/>
      <c r="B207" s="185"/>
      <c r="C207" s="185"/>
      <c r="D207" s="185"/>
      <c r="E207" s="191"/>
      <c r="F207" s="185"/>
      <c r="G207" s="185"/>
      <c r="H207" s="185"/>
      <c r="I207" s="185"/>
      <c r="J207" s="185"/>
    </row>
    <row r="208" spans="1:10">
      <c r="A208" s="185"/>
      <c r="B208" s="185"/>
      <c r="C208" s="185"/>
      <c r="D208" s="185"/>
      <c r="E208" s="191"/>
      <c r="F208" s="185"/>
      <c r="G208" s="185"/>
      <c r="H208" s="185"/>
      <c r="I208" s="185"/>
      <c r="J208" s="185"/>
    </row>
    <row r="209" spans="1:10">
      <c r="A209" s="185"/>
      <c r="B209" s="185"/>
      <c r="C209" s="185"/>
      <c r="D209" s="185"/>
      <c r="E209" s="191"/>
      <c r="F209" s="185"/>
      <c r="G209" s="185"/>
      <c r="H209" s="185"/>
      <c r="I209" s="185"/>
      <c r="J209" s="185"/>
    </row>
    <row r="210" spans="1:10">
      <c r="A210" s="185"/>
      <c r="B210" s="185"/>
      <c r="C210" s="185"/>
      <c r="D210" s="185"/>
      <c r="E210" s="191"/>
      <c r="F210" s="185"/>
      <c r="G210" s="185"/>
      <c r="H210" s="185"/>
      <c r="I210" s="185"/>
      <c r="J210" s="185"/>
    </row>
    <row r="211" spans="1:10">
      <c r="A211" s="185"/>
      <c r="B211" s="185"/>
      <c r="C211" s="185"/>
      <c r="D211" s="185"/>
      <c r="E211" s="191"/>
      <c r="F211" s="185"/>
      <c r="G211" s="185"/>
      <c r="H211" s="185"/>
      <c r="I211" s="185"/>
      <c r="J211" s="185"/>
    </row>
    <row r="212" spans="1:10">
      <c r="A212" s="185"/>
      <c r="B212" s="185"/>
      <c r="C212" s="185"/>
      <c r="D212" s="185"/>
      <c r="E212" s="191"/>
      <c r="F212" s="185"/>
      <c r="G212" s="185"/>
      <c r="H212" s="185"/>
      <c r="I212" s="185"/>
      <c r="J212" s="185"/>
    </row>
    <row r="213" spans="1:10">
      <c r="A213" s="185"/>
      <c r="B213" s="185"/>
      <c r="C213" s="185"/>
      <c r="D213" s="185"/>
      <c r="E213" s="191"/>
      <c r="F213" s="185"/>
      <c r="G213" s="185"/>
      <c r="H213" s="185"/>
      <c r="I213" s="185"/>
      <c r="J213" s="185"/>
    </row>
    <row r="214" spans="1:10">
      <c r="A214" s="185"/>
      <c r="B214" s="185"/>
      <c r="C214" s="185"/>
      <c r="D214" s="185"/>
      <c r="E214" s="191"/>
      <c r="F214" s="185"/>
      <c r="G214" s="185"/>
      <c r="H214" s="185"/>
      <c r="I214" s="185"/>
      <c r="J214" s="185"/>
    </row>
    <row r="215" spans="1:10">
      <c r="A215" s="185"/>
      <c r="B215" s="185"/>
      <c r="C215" s="185"/>
      <c r="D215" s="185"/>
      <c r="E215" s="191"/>
      <c r="F215" s="185"/>
      <c r="G215" s="185"/>
      <c r="H215" s="185"/>
      <c r="I215" s="185"/>
      <c r="J215" s="185"/>
    </row>
    <row r="216" spans="1:10">
      <c r="A216" s="185"/>
      <c r="B216" s="185"/>
      <c r="C216" s="185"/>
      <c r="D216" s="185"/>
      <c r="E216" s="191"/>
      <c r="F216" s="185"/>
      <c r="G216" s="185"/>
      <c r="H216" s="185"/>
      <c r="I216" s="185"/>
      <c r="J216" s="185"/>
    </row>
    <row r="217" spans="1:10">
      <c r="A217" s="185"/>
      <c r="B217" s="185"/>
      <c r="C217" s="185"/>
      <c r="D217" s="185"/>
      <c r="E217" s="191"/>
      <c r="F217" s="185"/>
      <c r="G217" s="185"/>
      <c r="H217" s="185"/>
      <c r="I217" s="185"/>
      <c r="J217" s="185"/>
    </row>
    <row r="218" spans="1:10">
      <c r="A218" s="185"/>
      <c r="B218" s="185"/>
      <c r="C218" s="185"/>
      <c r="D218" s="185"/>
      <c r="E218" s="191"/>
      <c r="F218" s="185"/>
      <c r="G218" s="185"/>
      <c r="H218" s="185"/>
      <c r="I218" s="185"/>
      <c r="J218" s="185"/>
    </row>
    <row r="219" spans="1:10">
      <c r="A219" s="185"/>
      <c r="B219" s="185"/>
      <c r="C219" s="185"/>
      <c r="D219" s="185"/>
      <c r="E219" s="191"/>
      <c r="F219" s="185"/>
      <c r="G219" s="185"/>
      <c r="H219" s="185"/>
      <c r="I219" s="185"/>
      <c r="J219" s="185"/>
    </row>
    <row r="220" spans="1:10">
      <c r="A220" s="185"/>
      <c r="B220" s="185"/>
      <c r="C220" s="185"/>
      <c r="D220" s="185"/>
      <c r="E220" s="191"/>
      <c r="F220" s="185"/>
      <c r="G220" s="185"/>
      <c r="H220" s="185"/>
      <c r="I220" s="185"/>
      <c r="J220" s="185"/>
    </row>
    <row r="221" spans="1:10">
      <c r="A221" s="185"/>
      <c r="B221" s="185"/>
      <c r="C221" s="185"/>
      <c r="D221" s="185"/>
      <c r="E221" s="191"/>
      <c r="F221" s="185"/>
      <c r="G221" s="185"/>
      <c r="H221" s="185"/>
      <c r="I221" s="185"/>
      <c r="J221" s="185"/>
    </row>
    <row r="222" spans="1:10">
      <c r="A222" s="185"/>
      <c r="B222" s="185"/>
      <c r="C222" s="185"/>
      <c r="D222" s="185"/>
      <c r="E222" s="191"/>
      <c r="F222" s="185"/>
      <c r="G222" s="185"/>
      <c r="H222" s="185"/>
      <c r="I222" s="185"/>
      <c r="J222" s="185"/>
    </row>
    <row r="223" spans="1:10">
      <c r="A223" s="185"/>
      <c r="B223" s="185"/>
      <c r="C223" s="185"/>
      <c r="D223" s="185"/>
      <c r="E223" s="191"/>
      <c r="F223" s="185"/>
      <c r="G223" s="185"/>
      <c r="H223" s="185"/>
      <c r="I223" s="185"/>
      <c r="J223" s="185"/>
    </row>
    <row r="224" spans="1:10">
      <c r="A224" s="185"/>
      <c r="B224" s="185"/>
      <c r="C224" s="185"/>
      <c r="D224" s="185"/>
      <c r="E224" s="191"/>
      <c r="F224" s="185"/>
      <c r="G224" s="185"/>
      <c r="H224" s="185"/>
      <c r="I224" s="185"/>
      <c r="J224" s="185"/>
    </row>
    <row r="225" spans="1:10">
      <c r="A225" s="185"/>
      <c r="B225" s="185"/>
      <c r="C225" s="185"/>
      <c r="D225" s="185"/>
      <c r="E225" s="191"/>
      <c r="F225" s="185"/>
      <c r="G225" s="185"/>
      <c r="H225" s="185"/>
      <c r="I225" s="185"/>
      <c r="J225" s="185"/>
    </row>
    <row r="226" spans="1:10">
      <c r="A226" s="185"/>
      <c r="B226" s="185"/>
      <c r="C226" s="185"/>
      <c r="D226" s="185"/>
      <c r="E226" s="191"/>
      <c r="F226" s="185"/>
      <c r="G226" s="185"/>
      <c r="H226" s="185"/>
      <c r="I226" s="185"/>
      <c r="J226" s="185"/>
    </row>
    <row r="227" spans="1:10">
      <c r="A227" s="185"/>
      <c r="B227" s="185"/>
      <c r="C227" s="185"/>
      <c r="D227" s="185"/>
      <c r="E227" s="191"/>
      <c r="F227" s="185"/>
      <c r="G227" s="185"/>
      <c r="H227" s="185"/>
      <c r="I227" s="185"/>
      <c r="J227" s="185"/>
    </row>
    <row r="228" spans="1:10">
      <c r="A228" s="185"/>
      <c r="B228" s="185"/>
      <c r="C228" s="185"/>
      <c r="D228" s="185"/>
      <c r="E228" s="191"/>
      <c r="F228" s="185"/>
      <c r="G228" s="185"/>
      <c r="H228" s="185"/>
      <c r="I228" s="185"/>
      <c r="J228" s="185"/>
    </row>
    <row r="229" spans="1:10">
      <c r="A229" s="185"/>
      <c r="B229" s="185"/>
      <c r="C229" s="185"/>
      <c r="D229" s="185"/>
      <c r="E229" s="191"/>
      <c r="F229" s="185"/>
      <c r="G229" s="185"/>
      <c r="H229" s="185"/>
      <c r="I229" s="185"/>
      <c r="J229" s="185"/>
    </row>
    <row r="230" spans="1:10">
      <c r="A230" s="185"/>
      <c r="B230" s="185"/>
      <c r="C230" s="185"/>
      <c r="D230" s="185"/>
      <c r="E230" s="191"/>
      <c r="F230" s="185"/>
      <c r="G230" s="185"/>
      <c r="H230" s="185"/>
      <c r="I230" s="185"/>
      <c r="J230" s="185"/>
    </row>
    <row r="231" spans="1:10">
      <c r="A231" s="185"/>
      <c r="B231" s="185"/>
      <c r="C231" s="185"/>
      <c r="D231" s="185"/>
      <c r="E231" s="191"/>
      <c r="F231" s="185"/>
      <c r="G231" s="185"/>
      <c r="H231" s="185"/>
      <c r="I231" s="185"/>
      <c r="J231" s="185"/>
    </row>
    <row r="232" spans="1:10">
      <c r="A232" s="185"/>
      <c r="B232" s="185"/>
      <c r="C232" s="185"/>
      <c r="D232" s="185"/>
      <c r="E232" s="191"/>
      <c r="F232" s="185"/>
      <c r="G232" s="185"/>
      <c r="H232" s="185"/>
      <c r="I232" s="185"/>
      <c r="J232" s="185"/>
    </row>
    <row r="233" spans="1:10">
      <c r="A233" s="185"/>
      <c r="B233" s="185"/>
      <c r="C233" s="185"/>
      <c r="D233" s="185"/>
      <c r="E233" s="191"/>
      <c r="F233" s="185"/>
      <c r="G233" s="185"/>
      <c r="H233" s="185"/>
      <c r="I233" s="185"/>
      <c r="J233" s="185"/>
    </row>
    <row r="234" spans="1:10">
      <c r="A234" s="185"/>
      <c r="B234" s="185"/>
      <c r="C234" s="185"/>
      <c r="D234" s="185"/>
      <c r="E234" s="191"/>
      <c r="F234" s="185"/>
      <c r="G234" s="185"/>
      <c r="H234" s="185"/>
      <c r="I234" s="185"/>
      <c r="J234" s="185"/>
    </row>
    <row r="235" spans="1:10">
      <c r="A235" s="185"/>
      <c r="B235" s="185"/>
      <c r="C235" s="185"/>
      <c r="D235" s="185"/>
      <c r="E235" s="191"/>
      <c r="F235" s="185"/>
      <c r="G235" s="185"/>
      <c r="H235" s="185"/>
      <c r="I235" s="185"/>
      <c r="J235" s="185"/>
    </row>
    <row r="236" spans="1:10">
      <c r="A236" s="185"/>
      <c r="B236" s="185"/>
      <c r="C236" s="185"/>
      <c r="D236" s="185"/>
      <c r="E236" s="191"/>
      <c r="F236" s="185"/>
      <c r="G236" s="185"/>
      <c r="H236" s="185"/>
      <c r="I236" s="185"/>
      <c r="J236" s="185"/>
    </row>
    <row r="237" spans="1:10">
      <c r="A237" s="185"/>
      <c r="B237" s="185"/>
      <c r="C237" s="185"/>
      <c r="D237" s="185"/>
      <c r="E237" s="191"/>
      <c r="F237" s="185"/>
      <c r="G237" s="185"/>
      <c r="H237" s="185"/>
      <c r="I237" s="185"/>
      <c r="J237" s="185"/>
    </row>
    <row r="238" spans="1:10">
      <c r="A238" s="185"/>
      <c r="B238" s="185"/>
      <c r="C238" s="185"/>
      <c r="D238" s="185"/>
      <c r="E238" s="191"/>
      <c r="F238" s="185"/>
      <c r="G238" s="185"/>
      <c r="H238" s="185"/>
      <c r="I238" s="185"/>
      <c r="J238" s="185"/>
    </row>
    <row r="239" spans="1:10">
      <c r="A239" s="185"/>
      <c r="B239" s="185"/>
      <c r="C239" s="185"/>
      <c r="D239" s="185"/>
      <c r="E239" s="191"/>
      <c r="F239" s="185"/>
      <c r="G239" s="185"/>
      <c r="H239" s="185"/>
      <c r="I239" s="185"/>
      <c r="J239" s="185"/>
    </row>
    <row r="240" spans="1:10">
      <c r="A240" s="185"/>
      <c r="B240" s="185"/>
      <c r="C240" s="185"/>
      <c r="D240" s="185"/>
      <c r="E240" s="191"/>
      <c r="F240" s="185"/>
      <c r="G240" s="185"/>
      <c r="H240" s="185"/>
      <c r="I240" s="185"/>
      <c r="J240" s="185"/>
    </row>
    <row r="241" spans="1:10">
      <c r="A241" s="185"/>
      <c r="B241" s="185"/>
      <c r="C241" s="185"/>
      <c r="D241" s="185"/>
      <c r="E241" s="191"/>
      <c r="F241" s="185"/>
      <c r="G241" s="185"/>
      <c r="H241" s="185"/>
      <c r="I241" s="185"/>
      <c r="J241" s="185"/>
    </row>
    <row r="242" spans="1:10">
      <c r="A242" s="185"/>
      <c r="B242" s="185"/>
      <c r="C242" s="185"/>
      <c r="D242" s="185"/>
      <c r="E242" s="191"/>
      <c r="F242" s="185"/>
      <c r="G242" s="185"/>
      <c r="H242" s="185"/>
      <c r="I242" s="185"/>
      <c r="J242" s="185"/>
    </row>
    <row r="243" spans="1:10">
      <c r="A243" s="185"/>
      <c r="B243" s="185"/>
      <c r="C243" s="185"/>
      <c r="D243" s="185"/>
      <c r="E243" s="191"/>
      <c r="F243" s="185"/>
      <c r="G243" s="185"/>
      <c r="H243" s="185"/>
      <c r="I243" s="185"/>
      <c r="J243" s="185"/>
    </row>
    <row r="244" spans="1:10">
      <c r="A244" s="185"/>
      <c r="B244" s="185"/>
      <c r="C244" s="185"/>
      <c r="D244" s="185"/>
      <c r="E244" s="191"/>
      <c r="F244" s="185"/>
      <c r="G244" s="185"/>
      <c r="H244" s="185"/>
      <c r="I244" s="185"/>
      <c r="J244" s="185"/>
    </row>
    <row r="245" spans="1:10">
      <c r="A245" s="185"/>
      <c r="B245" s="185"/>
      <c r="C245" s="185"/>
      <c r="D245" s="185"/>
      <c r="E245" s="191"/>
      <c r="F245" s="185"/>
      <c r="G245" s="185"/>
      <c r="H245" s="185"/>
      <c r="I245" s="185"/>
      <c r="J245" s="185"/>
    </row>
    <row r="246" spans="1:10">
      <c r="A246" s="185"/>
      <c r="B246" s="185"/>
      <c r="C246" s="185"/>
      <c r="D246" s="185"/>
      <c r="E246" s="191"/>
      <c r="F246" s="185"/>
      <c r="G246" s="185"/>
      <c r="H246" s="185"/>
      <c r="I246" s="185"/>
      <c r="J246" s="185"/>
    </row>
    <row r="247" spans="1:10">
      <c r="A247" s="185"/>
      <c r="B247" s="185"/>
      <c r="C247" s="185"/>
      <c r="D247" s="185"/>
      <c r="E247" s="191"/>
      <c r="F247" s="185"/>
      <c r="G247" s="185"/>
      <c r="H247" s="185"/>
      <c r="I247" s="185"/>
      <c r="J247" s="185"/>
    </row>
    <row r="248" spans="1:10">
      <c r="A248" s="185"/>
      <c r="B248" s="185"/>
      <c r="C248" s="185"/>
      <c r="D248" s="185"/>
      <c r="E248" s="191"/>
      <c r="F248" s="185"/>
      <c r="G248" s="185"/>
      <c r="H248" s="185"/>
      <c r="I248" s="185"/>
      <c r="J248" s="185"/>
    </row>
    <row r="249" spans="1:10">
      <c r="A249" s="185"/>
      <c r="B249" s="185"/>
      <c r="C249" s="185"/>
      <c r="D249" s="185"/>
      <c r="E249" s="191"/>
      <c r="F249" s="185"/>
      <c r="G249" s="185"/>
      <c r="H249" s="185"/>
      <c r="I249" s="185"/>
      <c r="J249" s="185"/>
    </row>
    <row r="250" spans="1:10">
      <c r="A250" s="185"/>
      <c r="B250" s="185"/>
      <c r="C250" s="185"/>
      <c r="D250" s="185"/>
      <c r="E250" s="191"/>
      <c r="F250" s="185"/>
      <c r="G250" s="185"/>
      <c r="H250" s="185"/>
      <c r="I250" s="185"/>
      <c r="J250" s="185"/>
    </row>
    <row r="251" spans="1:10">
      <c r="A251" s="185"/>
      <c r="B251" s="185"/>
      <c r="C251" s="185"/>
      <c r="D251" s="185"/>
      <c r="E251" s="191"/>
      <c r="F251" s="185"/>
      <c r="G251" s="185"/>
      <c r="H251" s="185"/>
      <c r="I251" s="185"/>
      <c r="J251" s="185"/>
    </row>
    <row r="252" spans="1:10">
      <c r="A252" s="185"/>
      <c r="B252" s="185"/>
      <c r="C252" s="185"/>
      <c r="D252" s="185"/>
      <c r="E252" s="191"/>
      <c r="F252" s="185"/>
      <c r="G252" s="185"/>
      <c r="H252" s="185"/>
      <c r="I252" s="185"/>
      <c r="J252" s="185"/>
    </row>
    <row r="253" spans="1:10">
      <c r="A253" s="185"/>
      <c r="B253" s="185"/>
      <c r="C253" s="185"/>
      <c r="D253" s="185"/>
      <c r="E253" s="191"/>
      <c r="F253" s="185"/>
      <c r="G253" s="185"/>
      <c r="H253" s="185"/>
      <c r="I253" s="185"/>
      <c r="J253" s="185"/>
    </row>
    <row r="254" spans="1:10">
      <c r="A254" s="185"/>
      <c r="B254" s="185"/>
      <c r="C254" s="185"/>
      <c r="D254" s="185"/>
      <c r="E254" s="191"/>
      <c r="F254" s="185"/>
      <c r="G254" s="185"/>
      <c r="H254" s="185"/>
      <c r="I254" s="185"/>
      <c r="J254" s="185"/>
    </row>
    <row r="255" spans="1:10">
      <c r="A255" s="185"/>
      <c r="B255" s="185"/>
      <c r="C255" s="185"/>
      <c r="D255" s="185"/>
      <c r="E255" s="191"/>
      <c r="F255" s="185"/>
      <c r="G255" s="185"/>
      <c r="H255" s="185"/>
      <c r="I255" s="185"/>
      <c r="J255" s="185"/>
    </row>
    <row r="256" spans="1:10">
      <c r="A256" s="185"/>
      <c r="B256" s="185"/>
      <c r="C256" s="185"/>
      <c r="D256" s="185"/>
      <c r="E256" s="191"/>
      <c r="F256" s="185"/>
      <c r="G256" s="185"/>
      <c r="H256" s="185"/>
      <c r="I256" s="185"/>
      <c r="J256" s="185"/>
    </row>
    <row r="257" spans="1:10">
      <c r="A257" s="185"/>
      <c r="B257" s="185"/>
      <c r="C257" s="185"/>
      <c r="D257" s="185"/>
      <c r="E257" s="191"/>
      <c r="F257" s="185"/>
      <c r="G257" s="185"/>
      <c r="H257" s="185"/>
      <c r="I257" s="185"/>
      <c r="J257" s="185"/>
    </row>
    <row r="258" spans="1:10">
      <c r="A258" s="185"/>
      <c r="B258" s="185"/>
      <c r="C258" s="185"/>
      <c r="D258" s="185"/>
      <c r="E258" s="191"/>
      <c r="F258" s="185"/>
      <c r="G258" s="185"/>
      <c r="H258" s="185"/>
      <c r="I258" s="185"/>
      <c r="J258" s="185"/>
    </row>
    <row r="259" spans="1:10">
      <c r="A259" s="185"/>
      <c r="B259" s="185"/>
      <c r="C259" s="185"/>
      <c r="D259" s="185"/>
      <c r="E259" s="191"/>
      <c r="F259" s="185"/>
      <c r="G259" s="185"/>
      <c r="H259" s="185"/>
      <c r="I259" s="185"/>
      <c r="J259" s="185"/>
    </row>
    <row r="260" spans="1:10">
      <c r="A260" s="185"/>
      <c r="B260" s="185"/>
      <c r="C260" s="185"/>
      <c r="D260" s="185"/>
      <c r="E260" s="191"/>
      <c r="F260" s="185"/>
      <c r="G260" s="185"/>
      <c r="H260" s="185"/>
      <c r="I260" s="185"/>
      <c r="J260" s="185"/>
    </row>
    <row r="261" spans="1:10">
      <c r="A261" s="185"/>
      <c r="B261" s="185"/>
      <c r="C261" s="185"/>
      <c r="D261" s="185"/>
      <c r="E261" s="191"/>
      <c r="F261" s="185"/>
      <c r="G261" s="185"/>
      <c r="H261" s="185"/>
      <c r="I261" s="185"/>
      <c r="J261" s="185"/>
    </row>
    <row r="262" spans="1:10">
      <c r="A262" s="185"/>
      <c r="B262" s="185"/>
      <c r="C262" s="185"/>
      <c r="D262" s="185"/>
      <c r="E262" s="191"/>
      <c r="F262" s="185"/>
      <c r="G262" s="185"/>
      <c r="H262" s="185"/>
      <c r="I262" s="185"/>
      <c r="J262" s="185"/>
    </row>
    <row r="263" spans="1:10">
      <c r="A263" s="185"/>
      <c r="B263" s="185"/>
      <c r="C263" s="185"/>
      <c r="D263" s="185"/>
      <c r="E263" s="191"/>
      <c r="F263" s="185"/>
      <c r="G263" s="185"/>
      <c r="H263" s="185"/>
      <c r="I263" s="185"/>
      <c r="J263" s="185"/>
    </row>
    <row r="264" spans="1:10">
      <c r="A264" s="185"/>
      <c r="B264" s="185"/>
      <c r="C264" s="185"/>
      <c r="D264" s="185"/>
      <c r="E264" s="191"/>
      <c r="F264" s="185"/>
      <c r="G264" s="185"/>
      <c r="H264" s="185"/>
      <c r="I264" s="185"/>
      <c r="J264" s="185"/>
    </row>
    <row r="265" spans="1:10">
      <c r="A265" s="185"/>
      <c r="B265" s="185"/>
      <c r="C265" s="185"/>
      <c r="D265" s="185"/>
      <c r="E265" s="191"/>
      <c r="F265" s="185"/>
      <c r="G265" s="185"/>
      <c r="H265" s="185"/>
      <c r="I265" s="185"/>
      <c r="J265" s="185"/>
    </row>
    <row r="266" spans="1:10">
      <c r="A266" s="185"/>
      <c r="B266" s="185"/>
      <c r="C266" s="185"/>
      <c r="D266" s="185"/>
      <c r="E266" s="191"/>
      <c r="F266" s="185"/>
      <c r="G266" s="185"/>
      <c r="H266" s="185"/>
      <c r="I266" s="185"/>
      <c r="J266" s="185"/>
    </row>
    <row r="267" spans="1:10">
      <c r="A267" s="185"/>
      <c r="B267" s="185"/>
      <c r="C267" s="185"/>
      <c r="D267" s="185"/>
      <c r="E267" s="191"/>
      <c r="F267" s="185"/>
      <c r="G267" s="185"/>
      <c r="H267" s="185"/>
      <c r="I267" s="185"/>
      <c r="J267" s="185"/>
    </row>
    <row r="268" spans="1:10">
      <c r="A268" s="185"/>
      <c r="B268" s="185"/>
      <c r="C268" s="185"/>
      <c r="D268" s="185"/>
      <c r="E268" s="191"/>
      <c r="F268" s="185"/>
      <c r="G268" s="185"/>
      <c r="H268" s="185"/>
      <c r="I268" s="185"/>
      <c r="J268" s="185"/>
    </row>
    <row r="269" spans="1:10">
      <c r="A269" s="185"/>
      <c r="B269" s="185"/>
      <c r="C269" s="185"/>
      <c r="D269" s="185"/>
      <c r="E269" s="191"/>
      <c r="F269" s="185"/>
      <c r="G269" s="185"/>
      <c r="H269" s="185"/>
      <c r="I269" s="185"/>
      <c r="J269" s="185"/>
    </row>
    <row r="270" spans="1:10">
      <c r="A270" s="185"/>
      <c r="B270" s="185"/>
      <c r="C270" s="185"/>
      <c r="D270" s="185"/>
      <c r="E270" s="191"/>
      <c r="F270" s="185"/>
      <c r="G270" s="185"/>
      <c r="H270" s="185"/>
      <c r="I270" s="185"/>
      <c r="J270" s="185"/>
    </row>
    <row r="271" spans="1:10">
      <c r="A271" s="185"/>
      <c r="B271" s="185"/>
      <c r="C271" s="185"/>
      <c r="D271" s="185"/>
      <c r="E271" s="191"/>
      <c r="F271" s="185"/>
      <c r="G271" s="185"/>
      <c r="H271" s="185"/>
      <c r="I271" s="185"/>
      <c r="J271" s="185"/>
    </row>
    <row r="272" spans="1:10">
      <c r="A272" s="185"/>
      <c r="B272" s="185"/>
      <c r="C272" s="185"/>
      <c r="D272" s="185"/>
      <c r="E272" s="191"/>
      <c r="F272" s="185"/>
      <c r="G272" s="185"/>
      <c r="H272" s="185"/>
      <c r="I272" s="185"/>
      <c r="J272" s="185"/>
    </row>
    <row r="273" spans="1:10">
      <c r="A273" s="185"/>
      <c r="B273" s="185"/>
      <c r="C273" s="185"/>
      <c r="D273" s="185"/>
      <c r="E273" s="191"/>
      <c r="F273" s="185"/>
      <c r="G273" s="185"/>
      <c r="H273" s="185"/>
      <c r="I273" s="185"/>
      <c r="J273" s="185"/>
    </row>
    <row r="274" spans="1:10">
      <c r="A274" s="185"/>
      <c r="B274" s="185"/>
      <c r="C274" s="185"/>
      <c r="D274" s="185"/>
      <c r="E274" s="191"/>
      <c r="F274" s="185"/>
      <c r="G274" s="185"/>
      <c r="H274" s="185"/>
      <c r="I274" s="185"/>
      <c r="J274" s="185"/>
    </row>
    <row r="275" spans="1:10">
      <c r="A275" s="185"/>
      <c r="B275" s="185"/>
      <c r="C275" s="185"/>
      <c r="D275" s="185"/>
      <c r="E275" s="191"/>
      <c r="F275" s="185"/>
      <c r="G275" s="185"/>
      <c r="H275" s="185"/>
      <c r="I275" s="185"/>
      <c r="J275" s="185"/>
    </row>
    <row r="276" spans="1:10">
      <c r="A276" s="185"/>
      <c r="B276" s="185"/>
      <c r="C276" s="185"/>
      <c r="D276" s="185"/>
      <c r="E276" s="191"/>
      <c r="F276" s="185"/>
      <c r="G276" s="185"/>
      <c r="H276" s="185"/>
      <c r="I276" s="185"/>
      <c r="J276" s="185"/>
    </row>
    <row r="277" spans="1:10">
      <c r="A277" s="185"/>
      <c r="B277" s="185"/>
      <c r="C277" s="185"/>
      <c r="D277" s="185"/>
      <c r="E277" s="191"/>
      <c r="F277" s="185"/>
      <c r="G277" s="185"/>
      <c r="H277" s="185"/>
      <c r="I277" s="185"/>
      <c r="J277" s="185"/>
    </row>
    <row r="278" spans="1:10">
      <c r="A278" s="185"/>
      <c r="B278" s="185"/>
      <c r="C278" s="185"/>
      <c r="D278" s="185"/>
      <c r="E278" s="191"/>
      <c r="F278" s="185"/>
      <c r="G278" s="185"/>
      <c r="H278" s="185"/>
      <c r="I278" s="185"/>
      <c r="J278" s="185"/>
    </row>
    <row r="279" spans="1:10">
      <c r="A279" s="185"/>
      <c r="B279" s="185"/>
      <c r="C279" s="185"/>
      <c r="D279" s="185"/>
      <c r="E279" s="191"/>
      <c r="F279" s="185"/>
      <c r="G279" s="185"/>
      <c r="H279" s="185"/>
      <c r="I279" s="185"/>
      <c r="J279" s="185"/>
    </row>
    <row r="280" spans="1:10">
      <c r="A280" s="185"/>
      <c r="B280" s="185"/>
      <c r="C280" s="185"/>
      <c r="D280" s="185"/>
      <c r="E280" s="191"/>
      <c r="F280" s="185"/>
      <c r="G280" s="185"/>
      <c r="H280" s="185"/>
      <c r="I280" s="185"/>
      <c r="J280" s="185"/>
    </row>
    <row r="281" spans="1:10">
      <c r="A281" s="185"/>
      <c r="B281" s="185"/>
      <c r="C281" s="185"/>
      <c r="D281" s="185"/>
      <c r="E281" s="191"/>
      <c r="F281" s="185"/>
      <c r="G281" s="185"/>
      <c r="H281" s="185"/>
      <c r="I281" s="185"/>
      <c r="J281" s="185"/>
    </row>
    <row r="282" spans="1:10">
      <c r="A282" s="185"/>
      <c r="B282" s="185"/>
      <c r="C282" s="185"/>
      <c r="D282" s="185"/>
      <c r="E282" s="191"/>
      <c r="F282" s="185"/>
      <c r="G282" s="185"/>
      <c r="H282" s="185"/>
      <c r="I282" s="185"/>
      <c r="J282" s="185"/>
    </row>
    <row r="283" spans="1:10">
      <c r="A283" s="185"/>
      <c r="B283" s="185"/>
      <c r="C283" s="185"/>
      <c r="D283" s="185"/>
      <c r="E283" s="191"/>
      <c r="F283" s="185"/>
      <c r="G283" s="185"/>
      <c r="H283" s="185"/>
      <c r="I283" s="185"/>
      <c r="J283" s="185"/>
    </row>
    <row r="284" spans="1:10">
      <c r="A284" s="185"/>
      <c r="B284" s="185"/>
      <c r="C284" s="185"/>
      <c r="D284" s="185"/>
      <c r="E284" s="191"/>
      <c r="F284" s="185"/>
      <c r="G284" s="185"/>
      <c r="H284" s="185"/>
      <c r="I284" s="185"/>
      <c r="J284" s="185"/>
    </row>
    <row r="285" spans="1:10">
      <c r="A285" s="185"/>
      <c r="B285" s="185"/>
      <c r="C285" s="185"/>
      <c r="D285" s="185"/>
      <c r="E285" s="191"/>
      <c r="F285" s="185"/>
      <c r="G285" s="185"/>
      <c r="H285" s="185"/>
      <c r="I285" s="185"/>
      <c r="J285" s="185"/>
    </row>
    <row r="286" spans="1:10">
      <c r="A286" s="185"/>
      <c r="B286" s="185"/>
      <c r="C286" s="185"/>
      <c r="D286" s="185"/>
      <c r="E286" s="191"/>
      <c r="F286" s="185"/>
      <c r="G286" s="185"/>
      <c r="H286" s="185"/>
      <c r="I286" s="185"/>
      <c r="J286" s="185"/>
    </row>
    <row r="287" spans="1:10">
      <c r="A287" s="185"/>
      <c r="B287" s="185"/>
      <c r="C287" s="185"/>
      <c r="D287" s="185"/>
      <c r="E287" s="191"/>
      <c r="F287" s="185"/>
      <c r="G287" s="185"/>
      <c r="H287" s="185"/>
      <c r="I287" s="185"/>
      <c r="J287" s="185"/>
    </row>
    <row r="288" spans="1:10">
      <c r="A288" s="185"/>
      <c r="B288" s="185"/>
      <c r="C288" s="185"/>
      <c r="D288" s="185"/>
      <c r="E288" s="191"/>
      <c r="F288" s="185"/>
      <c r="G288" s="185"/>
      <c r="H288" s="185"/>
      <c r="I288" s="185"/>
      <c r="J288" s="185"/>
    </row>
    <row r="289" spans="1:10">
      <c r="A289" s="185"/>
      <c r="B289" s="185"/>
      <c r="C289" s="185"/>
      <c r="D289" s="185"/>
      <c r="E289" s="191"/>
      <c r="F289" s="185"/>
      <c r="G289" s="185"/>
      <c r="H289" s="185"/>
      <c r="I289" s="185"/>
      <c r="J289" s="185"/>
    </row>
    <row r="290" spans="1:10">
      <c r="A290" s="185"/>
      <c r="B290" s="185"/>
      <c r="C290" s="185"/>
      <c r="D290" s="185"/>
      <c r="E290" s="191"/>
      <c r="F290" s="185"/>
      <c r="G290" s="185"/>
      <c r="H290" s="185"/>
      <c r="I290" s="185"/>
      <c r="J290" s="185"/>
    </row>
    <row r="291" spans="1:10">
      <c r="A291" s="185"/>
      <c r="B291" s="185"/>
      <c r="C291" s="185"/>
      <c r="D291" s="185"/>
      <c r="E291" s="191"/>
      <c r="F291" s="185"/>
      <c r="G291" s="185"/>
      <c r="H291" s="185"/>
      <c r="I291" s="185"/>
      <c r="J291" s="185"/>
    </row>
    <row r="292" spans="1:10">
      <c r="A292" s="185"/>
      <c r="B292" s="185"/>
      <c r="C292" s="185"/>
      <c r="D292" s="185"/>
      <c r="E292" s="191"/>
      <c r="F292" s="185"/>
      <c r="G292" s="185"/>
      <c r="H292" s="185"/>
      <c r="I292" s="185"/>
      <c r="J292" s="185"/>
    </row>
    <row r="293" spans="1:10">
      <c r="A293" s="185"/>
      <c r="B293" s="185"/>
      <c r="C293" s="185"/>
      <c r="D293" s="185"/>
      <c r="E293" s="191"/>
      <c r="F293" s="185"/>
      <c r="G293" s="185"/>
      <c r="H293" s="185"/>
      <c r="I293" s="185"/>
      <c r="J293" s="185"/>
    </row>
    <row r="294" spans="1:10">
      <c r="A294" s="185"/>
      <c r="B294" s="185"/>
      <c r="C294" s="185"/>
      <c r="D294" s="185"/>
      <c r="E294" s="191"/>
      <c r="F294" s="185"/>
      <c r="G294" s="185"/>
      <c r="H294" s="185"/>
      <c r="I294" s="185"/>
      <c r="J294" s="185"/>
    </row>
    <row r="295" spans="1:10">
      <c r="A295" s="185"/>
      <c r="B295" s="185"/>
      <c r="C295" s="185"/>
      <c r="D295" s="185"/>
      <c r="E295" s="191"/>
      <c r="F295" s="185"/>
      <c r="G295" s="185"/>
      <c r="H295" s="185"/>
      <c r="I295" s="185"/>
      <c r="J295" s="185"/>
    </row>
    <row r="296" spans="1:10">
      <c r="A296" s="185"/>
      <c r="B296" s="185"/>
      <c r="C296" s="185"/>
      <c r="D296" s="185"/>
      <c r="E296" s="191"/>
      <c r="F296" s="185"/>
      <c r="G296" s="185"/>
      <c r="H296" s="185"/>
      <c r="I296" s="185"/>
      <c r="J296" s="185"/>
    </row>
    <row r="297" spans="1:10">
      <c r="A297" s="185"/>
      <c r="B297" s="185"/>
      <c r="C297" s="185"/>
      <c r="D297" s="185"/>
      <c r="E297" s="191"/>
      <c r="F297" s="185"/>
      <c r="G297" s="185"/>
      <c r="H297" s="185"/>
      <c r="I297" s="185"/>
      <c r="J297" s="185"/>
    </row>
    <row r="298" spans="1:10">
      <c r="A298" s="185"/>
      <c r="B298" s="185"/>
      <c r="C298" s="185"/>
      <c r="D298" s="185"/>
      <c r="E298" s="191"/>
      <c r="F298" s="185"/>
      <c r="G298" s="185"/>
      <c r="H298" s="185"/>
      <c r="I298" s="185"/>
      <c r="J298" s="185"/>
    </row>
    <row r="299" spans="1:10">
      <c r="A299" s="185"/>
      <c r="B299" s="185"/>
      <c r="C299" s="185"/>
      <c r="D299" s="185"/>
      <c r="E299" s="191"/>
      <c r="F299" s="185"/>
      <c r="G299" s="185"/>
      <c r="H299" s="185"/>
      <c r="I299" s="185"/>
      <c r="J299" s="185"/>
    </row>
    <row r="300" spans="1:10">
      <c r="A300" s="185"/>
      <c r="B300" s="185"/>
      <c r="C300" s="185"/>
      <c r="D300" s="185"/>
      <c r="E300" s="191"/>
      <c r="F300" s="185"/>
      <c r="G300" s="185"/>
      <c r="H300" s="185"/>
      <c r="I300" s="185"/>
      <c r="J300" s="185"/>
    </row>
    <row r="301" spans="1:10">
      <c r="A301" s="185"/>
      <c r="B301" s="185"/>
      <c r="C301" s="185"/>
      <c r="D301" s="185"/>
      <c r="E301" s="191"/>
      <c r="F301" s="185"/>
      <c r="G301" s="185"/>
      <c r="H301" s="185"/>
      <c r="I301" s="185"/>
      <c r="J301" s="185"/>
    </row>
    <row r="302" spans="1:10">
      <c r="A302" s="185"/>
      <c r="B302" s="185"/>
      <c r="C302" s="185"/>
      <c r="D302" s="185"/>
      <c r="E302" s="191"/>
      <c r="F302" s="185"/>
      <c r="G302" s="185"/>
      <c r="H302" s="185"/>
      <c r="I302" s="185"/>
      <c r="J302" s="185"/>
    </row>
    <row r="303" spans="1:10">
      <c r="A303" s="185"/>
      <c r="B303" s="185"/>
      <c r="C303" s="185"/>
      <c r="D303" s="185"/>
      <c r="E303" s="191"/>
      <c r="F303" s="185"/>
      <c r="G303" s="185"/>
      <c r="H303" s="185"/>
      <c r="I303" s="185"/>
      <c r="J303" s="185"/>
    </row>
    <row r="304" spans="1:10">
      <c r="A304" s="185"/>
      <c r="B304" s="185"/>
      <c r="C304" s="185"/>
      <c r="D304" s="185"/>
      <c r="E304" s="191"/>
      <c r="F304" s="185"/>
      <c r="G304" s="185"/>
      <c r="H304" s="185"/>
      <c r="I304" s="185"/>
      <c r="J304" s="185"/>
    </row>
    <row r="305" spans="1:10">
      <c r="A305" s="185"/>
      <c r="B305" s="185"/>
      <c r="C305" s="185"/>
      <c r="D305" s="185"/>
      <c r="E305" s="191"/>
      <c r="F305" s="185"/>
      <c r="G305" s="185"/>
      <c r="H305" s="185"/>
      <c r="I305" s="185"/>
      <c r="J305" s="185"/>
    </row>
    <row r="306" spans="1:10">
      <c r="A306" s="185"/>
      <c r="B306" s="185"/>
      <c r="C306" s="185"/>
      <c r="D306" s="185"/>
      <c r="E306" s="191"/>
      <c r="F306" s="185"/>
      <c r="G306" s="185"/>
      <c r="H306" s="185"/>
      <c r="I306" s="185"/>
      <c r="J306" s="185"/>
    </row>
    <row r="307" spans="1:10">
      <c r="A307" s="185"/>
      <c r="B307" s="185"/>
      <c r="C307" s="185"/>
      <c r="D307" s="185"/>
      <c r="E307" s="191"/>
      <c r="F307" s="185"/>
      <c r="G307" s="185"/>
      <c r="H307" s="185"/>
      <c r="I307" s="185"/>
      <c r="J307" s="185"/>
    </row>
    <row r="308" spans="1:10">
      <c r="A308" s="185"/>
      <c r="B308" s="185"/>
      <c r="C308" s="185"/>
      <c r="D308" s="185"/>
      <c r="E308" s="191"/>
      <c r="F308" s="185"/>
      <c r="G308" s="185"/>
      <c r="H308" s="185"/>
      <c r="I308" s="185"/>
      <c r="J308" s="185"/>
    </row>
    <row r="309" spans="1:10">
      <c r="A309" s="185"/>
      <c r="B309" s="185"/>
      <c r="C309" s="185"/>
      <c r="D309" s="185"/>
      <c r="E309" s="191"/>
      <c r="F309" s="185"/>
      <c r="G309" s="185"/>
      <c r="H309" s="185"/>
      <c r="I309" s="185"/>
      <c r="J309" s="185"/>
    </row>
    <row r="310" spans="1:10">
      <c r="A310" s="185"/>
      <c r="B310" s="185"/>
      <c r="C310" s="185"/>
      <c r="D310" s="185"/>
      <c r="E310" s="191"/>
      <c r="F310" s="185"/>
      <c r="G310" s="185"/>
      <c r="H310" s="185"/>
      <c r="I310" s="185"/>
      <c r="J310" s="185"/>
    </row>
    <row r="311" spans="1:10">
      <c r="A311" s="185"/>
      <c r="B311" s="185"/>
      <c r="C311" s="185"/>
      <c r="D311" s="185"/>
      <c r="E311" s="191"/>
      <c r="F311" s="185"/>
      <c r="G311" s="185"/>
      <c r="H311" s="185"/>
      <c r="I311" s="185"/>
      <c r="J311" s="185"/>
    </row>
    <row r="312" spans="1:10">
      <c r="A312" s="185"/>
      <c r="B312" s="185"/>
      <c r="C312" s="185"/>
      <c r="D312" s="185"/>
      <c r="E312" s="191"/>
      <c r="F312" s="185"/>
      <c r="G312" s="185"/>
      <c r="H312" s="185"/>
      <c r="I312" s="185"/>
      <c r="J312" s="185"/>
    </row>
    <row r="313" spans="1:10">
      <c r="A313" s="185"/>
      <c r="B313" s="185"/>
      <c r="C313" s="185"/>
      <c r="D313" s="185"/>
      <c r="E313" s="191"/>
      <c r="F313" s="185"/>
      <c r="G313" s="185"/>
      <c r="H313" s="185"/>
      <c r="I313" s="185"/>
      <c r="J313" s="185"/>
    </row>
    <row r="314" spans="1:10">
      <c r="A314" s="185"/>
      <c r="B314" s="185"/>
      <c r="C314" s="185"/>
      <c r="D314" s="185"/>
      <c r="E314" s="191"/>
      <c r="F314" s="185"/>
      <c r="G314" s="185"/>
      <c r="H314" s="185"/>
      <c r="I314" s="185"/>
      <c r="J314" s="185"/>
    </row>
    <row r="315" spans="1:10">
      <c r="A315" s="185"/>
      <c r="B315" s="185"/>
      <c r="C315" s="185"/>
      <c r="D315" s="185"/>
      <c r="E315" s="191"/>
      <c r="F315" s="185"/>
      <c r="G315" s="185"/>
      <c r="H315" s="185"/>
      <c r="I315" s="185"/>
      <c r="J315" s="185"/>
    </row>
    <row r="316" spans="1:10">
      <c r="A316" s="185"/>
      <c r="B316" s="185"/>
      <c r="C316" s="185"/>
      <c r="D316" s="185"/>
      <c r="E316" s="191"/>
      <c r="F316" s="185"/>
      <c r="G316" s="185"/>
      <c r="H316" s="185"/>
      <c r="I316" s="185"/>
      <c r="J316" s="185"/>
    </row>
    <row r="317" spans="1:10">
      <c r="A317" s="185"/>
      <c r="B317" s="185"/>
      <c r="C317" s="185"/>
      <c r="D317" s="185"/>
      <c r="E317" s="191"/>
      <c r="F317" s="185"/>
      <c r="G317" s="185"/>
      <c r="H317" s="185"/>
      <c r="I317" s="185"/>
      <c r="J317" s="185"/>
    </row>
    <row r="318" spans="1:10">
      <c r="A318" s="185"/>
      <c r="B318" s="185"/>
      <c r="C318" s="185"/>
      <c r="D318" s="185"/>
      <c r="E318" s="191"/>
      <c r="F318" s="185"/>
      <c r="G318" s="185"/>
      <c r="H318" s="185"/>
      <c r="I318" s="185"/>
      <c r="J318" s="185"/>
    </row>
    <row r="319" spans="1:10">
      <c r="A319" s="185"/>
      <c r="B319" s="185"/>
      <c r="C319" s="185"/>
      <c r="D319" s="185"/>
      <c r="E319" s="191"/>
      <c r="F319" s="185"/>
      <c r="G319" s="185"/>
      <c r="H319" s="185"/>
      <c r="I319" s="185"/>
      <c r="J319" s="185"/>
    </row>
    <row r="320" spans="1:10">
      <c r="A320" s="185"/>
      <c r="B320" s="185"/>
      <c r="C320" s="185"/>
      <c r="D320" s="185"/>
      <c r="E320" s="191"/>
      <c r="F320" s="185"/>
      <c r="G320" s="185"/>
      <c r="H320" s="185"/>
      <c r="I320" s="185"/>
      <c r="J320" s="185"/>
    </row>
    <row r="321" spans="1:10">
      <c r="A321" s="185"/>
      <c r="B321" s="185"/>
      <c r="C321" s="185"/>
      <c r="D321" s="185"/>
      <c r="E321" s="191"/>
      <c r="F321" s="185"/>
      <c r="G321" s="185"/>
      <c r="H321" s="185"/>
      <c r="I321" s="185"/>
      <c r="J321" s="185"/>
    </row>
    <row r="322" spans="1:10">
      <c r="A322" s="185"/>
      <c r="B322" s="185"/>
      <c r="C322" s="185"/>
      <c r="D322" s="185"/>
      <c r="E322" s="191"/>
      <c r="F322" s="185"/>
      <c r="G322" s="185"/>
      <c r="H322" s="185"/>
      <c r="I322" s="185"/>
      <c r="J322" s="185"/>
    </row>
    <row r="323" spans="1:10">
      <c r="A323" s="185"/>
      <c r="B323" s="185"/>
      <c r="C323" s="185"/>
      <c r="D323" s="185"/>
      <c r="E323" s="191"/>
      <c r="F323" s="185"/>
      <c r="G323" s="185"/>
      <c r="H323" s="185"/>
      <c r="I323" s="185"/>
      <c r="J323" s="185"/>
    </row>
    <row r="324" spans="1:10">
      <c r="A324" s="185"/>
      <c r="B324" s="185"/>
      <c r="C324" s="185"/>
      <c r="D324" s="185"/>
      <c r="E324" s="191"/>
      <c r="F324" s="185"/>
      <c r="G324" s="185"/>
      <c r="H324" s="185"/>
      <c r="I324" s="185"/>
      <c r="J324" s="185"/>
    </row>
    <row r="325" spans="1:10">
      <c r="A325" s="185"/>
      <c r="B325" s="185"/>
      <c r="C325" s="185"/>
      <c r="D325" s="185"/>
      <c r="E325" s="191"/>
      <c r="F325" s="185"/>
      <c r="G325" s="185"/>
      <c r="H325" s="185"/>
      <c r="I325" s="185"/>
      <c r="J325" s="185"/>
    </row>
    <row r="326" spans="1:10">
      <c r="A326" s="185"/>
      <c r="B326" s="185"/>
      <c r="C326" s="185"/>
      <c r="D326" s="185"/>
      <c r="E326" s="191"/>
      <c r="F326" s="185"/>
      <c r="G326" s="185"/>
      <c r="H326" s="185"/>
      <c r="I326" s="185"/>
      <c r="J326" s="185"/>
    </row>
    <row r="327" spans="1:10">
      <c r="A327" s="185"/>
      <c r="B327" s="185"/>
      <c r="C327" s="185"/>
      <c r="D327" s="185"/>
      <c r="E327" s="191"/>
      <c r="F327" s="185"/>
      <c r="G327" s="185"/>
      <c r="H327" s="185"/>
      <c r="I327" s="185"/>
      <c r="J327" s="185"/>
    </row>
    <row r="328" spans="1:10">
      <c r="A328" s="185"/>
      <c r="B328" s="185"/>
      <c r="C328" s="185"/>
      <c r="D328" s="185"/>
      <c r="E328" s="191"/>
      <c r="F328" s="185"/>
      <c r="G328" s="185"/>
      <c r="H328" s="185"/>
      <c r="I328" s="185"/>
      <c r="J328" s="185"/>
    </row>
    <row r="329" spans="1:10">
      <c r="A329" s="185"/>
      <c r="B329" s="185"/>
      <c r="C329" s="185"/>
      <c r="D329" s="185"/>
      <c r="E329" s="191"/>
      <c r="F329" s="185"/>
      <c r="G329" s="185"/>
      <c r="H329" s="185"/>
      <c r="I329" s="185"/>
      <c r="J329" s="185"/>
    </row>
    <row r="330" spans="1:10">
      <c r="A330" s="185"/>
      <c r="B330" s="185"/>
      <c r="C330" s="185"/>
      <c r="D330" s="185"/>
      <c r="E330" s="191"/>
      <c r="F330" s="185"/>
      <c r="G330" s="185"/>
      <c r="H330" s="185"/>
      <c r="I330" s="185"/>
      <c r="J330" s="185"/>
    </row>
    <row r="331" spans="1:10">
      <c r="A331" s="185"/>
      <c r="B331" s="185"/>
      <c r="C331" s="185"/>
      <c r="D331" s="185"/>
      <c r="E331" s="191"/>
      <c r="F331" s="185"/>
      <c r="G331" s="185"/>
      <c r="H331" s="185"/>
      <c r="I331" s="185"/>
      <c r="J331" s="185"/>
    </row>
    <row r="332" spans="1:10">
      <c r="A332" s="185"/>
      <c r="B332" s="185"/>
      <c r="C332" s="185"/>
      <c r="D332" s="185"/>
      <c r="E332" s="191"/>
      <c r="F332" s="185"/>
      <c r="G332" s="185"/>
      <c r="H332" s="185"/>
      <c r="I332" s="185"/>
      <c r="J332" s="185"/>
    </row>
    <row r="333" spans="1:10">
      <c r="A333" s="185"/>
      <c r="B333" s="185"/>
      <c r="C333" s="185"/>
      <c r="D333" s="185"/>
      <c r="E333" s="191"/>
      <c r="F333" s="185"/>
      <c r="G333" s="185"/>
      <c r="H333" s="185"/>
      <c r="I333" s="185"/>
      <c r="J333" s="185"/>
    </row>
    <row r="334" spans="1:10">
      <c r="A334" s="185"/>
      <c r="B334" s="185"/>
      <c r="C334" s="185"/>
      <c r="D334" s="185"/>
      <c r="E334" s="191"/>
      <c r="F334" s="185"/>
      <c r="G334" s="185"/>
      <c r="H334" s="185"/>
      <c r="I334" s="185"/>
      <c r="J334" s="185"/>
    </row>
    <row r="335" spans="1:10">
      <c r="A335" s="185"/>
      <c r="B335" s="185"/>
      <c r="C335" s="185"/>
      <c r="D335" s="185"/>
      <c r="E335" s="191"/>
      <c r="F335" s="185"/>
      <c r="G335" s="185"/>
      <c r="H335" s="185"/>
      <c r="I335" s="185"/>
      <c r="J335" s="185"/>
    </row>
    <row r="336" spans="1:10">
      <c r="A336" s="185"/>
      <c r="B336" s="185"/>
      <c r="C336" s="185"/>
      <c r="D336" s="185"/>
      <c r="E336" s="191"/>
      <c r="F336" s="185"/>
      <c r="G336" s="185"/>
      <c r="H336" s="185"/>
      <c r="I336" s="185"/>
      <c r="J336" s="185"/>
    </row>
    <row r="337" spans="1:10">
      <c r="A337" s="185"/>
      <c r="B337" s="185"/>
      <c r="C337" s="185"/>
      <c r="D337" s="185"/>
      <c r="E337" s="191"/>
      <c r="F337" s="185"/>
      <c r="G337" s="185"/>
      <c r="H337" s="185"/>
      <c r="I337" s="185"/>
      <c r="J337" s="185"/>
    </row>
    <row r="338" spans="1:10">
      <c r="A338" s="185"/>
      <c r="B338" s="185"/>
      <c r="C338" s="185"/>
      <c r="D338" s="185"/>
      <c r="E338" s="191"/>
      <c r="F338" s="185"/>
      <c r="G338" s="185"/>
      <c r="H338" s="185"/>
      <c r="I338" s="185"/>
      <c r="J338" s="185"/>
    </row>
    <row r="339" spans="1:10">
      <c r="A339" s="185"/>
      <c r="B339" s="185"/>
      <c r="C339" s="185"/>
      <c r="D339" s="185"/>
      <c r="E339" s="191"/>
      <c r="F339" s="185"/>
      <c r="G339" s="185"/>
      <c r="H339" s="185"/>
      <c r="I339" s="185"/>
      <c r="J339" s="185"/>
    </row>
    <row r="340" spans="1:10">
      <c r="A340" s="185"/>
      <c r="B340" s="185"/>
      <c r="C340" s="185"/>
      <c r="D340" s="185"/>
      <c r="E340" s="191"/>
      <c r="F340" s="185"/>
      <c r="G340" s="185"/>
      <c r="H340" s="185"/>
      <c r="I340" s="185"/>
      <c r="J340" s="185"/>
    </row>
    <row r="341" spans="1:10">
      <c r="A341" s="185"/>
      <c r="B341" s="185"/>
      <c r="C341" s="185"/>
      <c r="D341" s="185"/>
      <c r="E341" s="191"/>
      <c r="F341" s="185"/>
      <c r="G341" s="185"/>
      <c r="H341" s="185"/>
      <c r="I341" s="185"/>
      <c r="J341" s="185"/>
    </row>
    <row r="342" spans="1:10">
      <c r="A342" s="185"/>
      <c r="B342" s="185"/>
      <c r="C342" s="185"/>
      <c r="D342" s="185"/>
      <c r="E342" s="191"/>
      <c r="F342" s="185"/>
      <c r="G342" s="185"/>
      <c r="H342" s="185"/>
      <c r="I342" s="185"/>
      <c r="J342" s="185"/>
    </row>
    <row r="343" spans="1:10">
      <c r="A343" s="185"/>
      <c r="B343" s="185"/>
      <c r="C343" s="185"/>
      <c r="D343" s="185"/>
      <c r="E343" s="191"/>
      <c r="F343" s="185"/>
      <c r="G343" s="185"/>
      <c r="H343" s="185"/>
      <c r="I343" s="185"/>
      <c r="J343" s="185"/>
    </row>
    <row r="344" spans="1:10">
      <c r="A344" s="185"/>
      <c r="B344" s="185"/>
      <c r="C344" s="185"/>
      <c r="D344" s="185"/>
      <c r="E344" s="191"/>
      <c r="F344" s="185"/>
      <c r="G344" s="185"/>
      <c r="H344" s="185"/>
      <c r="I344" s="185"/>
      <c r="J344" s="185"/>
    </row>
    <row r="345" spans="1:10">
      <c r="A345" s="185"/>
      <c r="B345" s="185"/>
      <c r="C345" s="185"/>
      <c r="D345" s="185"/>
      <c r="E345" s="191"/>
      <c r="F345" s="185"/>
      <c r="G345" s="185"/>
      <c r="H345" s="185"/>
      <c r="I345" s="185"/>
      <c r="J345" s="185"/>
    </row>
    <row r="346" spans="1:10">
      <c r="A346" s="185"/>
      <c r="B346" s="185"/>
      <c r="C346" s="185"/>
      <c r="D346" s="185"/>
      <c r="E346" s="191"/>
      <c r="F346" s="185"/>
      <c r="G346" s="185"/>
      <c r="H346" s="185"/>
      <c r="I346" s="185"/>
      <c r="J346" s="185"/>
    </row>
    <row r="347" spans="1:10">
      <c r="A347" s="185"/>
      <c r="B347" s="185"/>
      <c r="C347" s="185"/>
      <c r="D347" s="185"/>
      <c r="E347" s="191"/>
      <c r="F347" s="185"/>
      <c r="G347" s="185"/>
      <c r="H347" s="185"/>
      <c r="I347" s="185"/>
      <c r="J347" s="185"/>
    </row>
    <row r="348" spans="1:10">
      <c r="A348" s="185"/>
      <c r="B348" s="185"/>
      <c r="C348" s="185"/>
      <c r="D348" s="185"/>
      <c r="E348" s="191"/>
      <c r="F348" s="185"/>
      <c r="G348" s="185"/>
      <c r="H348" s="185"/>
      <c r="I348" s="185"/>
      <c r="J348" s="185"/>
    </row>
    <row r="349" spans="1:10">
      <c r="A349" s="185"/>
      <c r="B349" s="185"/>
      <c r="C349" s="185"/>
      <c r="D349" s="185"/>
      <c r="E349" s="191"/>
      <c r="F349" s="185"/>
      <c r="G349" s="185"/>
      <c r="H349" s="185"/>
      <c r="I349" s="185"/>
      <c r="J349" s="185"/>
    </row>
    <row r="350" spans="1:10">
      <c r="A350" s="185"/>
      <c r="B350" s="185"/>
      <c r="C350" s="185"/>
      <c r="D350" s="185"/>
      <c r="E350" s="191"/>
      <c r="F350" s="185"/>
      <c r="G350" s="185"/>
      <c r="H350" s="185"/>
      <c r="I350" s="185"/>
      <c r="J350" s="185"/>
    </row>
    <row r="351" spans="1:10">
      <c r="A351" s="185"/>
      <c r="B351" s="185"/>
      <c r="C351" s="185"/>
      <c r="D351" s="185"/>
      <c r="E351" s="191"/>
      <c r="F351" s="185"/>
      <c r="G351" s="185"/>
      <c r="H351" s="185"/>
      <c r="I351" s="185"/>
      <c r="J351" s="185"/>
    </row>
    <row r="352" spans="1:10">
      <c r="A352" s="185"/>
      <c r="B352" s="185"/>
      <c r="C352" s="185"/>
      <c r="D352" s="185"/>
      <c r="E352" s="191"/>
      <c r="F352" s="185"/>
      <c r="G352" s="185"/>
      <c r="H352" s="185"/>
      <c r="I352" s="185"/>
      <c r="J352" s="185"/>
    </row>
    <row r="353" spans="1:10">
      <c r="A353" s="185"/>
      <c r="B353" s="185"/>
      <c r="C353" s="185"/>
      <c r="D353" s="185"/>
      <c r="E353" s="191"/>
      <c r="F353" s="185"/>
      <c r="G353" s="185"/>
      <c r="H353" s="185"/>
      <c r="I353" s="185"/>
      <c r="J353" s="185"/>
    </row>
    <row r="354" spans="1:10">
      <c r="A354" s="185"/>
      <c r="B354" s="185"/>
      <c r="C354" s="185"/>
      <c r="D354" s="185"/>
      <c r="E354" s="191"/>
      <c r="F354" s="185"/>
      <c r="G354" s="185"/>
      <c r="H354" s="185"/>
      <c r="I354" s="185"/>
      <c r="J354" s="185"/>
    </row>
    <row r="355" spans="1:10">
      <c r="A355" s="185"/>
      <c r="B355" s="185"/>
      <c r="C355" s="185"/>
      <c r="D355" s="185"/>
      <c r="E355" s="191"/>
      <c r="F355" s="185"/>
      <c r="G355" s="185"/>
      <c r="H355" s="185"/>
      <c r="I355" s="185"/>
      <c r="J355" s="185"/>
    </row>
    <row r="356" spans="1:10">
      <c r="A356" s="185"/>
      <c r="B356" s="185"/>
      <c r="C356" s="185"/>
      <c r="D356" s="185"/>
      <c r="E356" s="191"/>
      <c r="F356" s="185"/>
      <c r="G356" s="185"/>
      <c r="H356" s="185"/>
      <c r="I356" s="185"/>
      <c r="J356" s="185"/>
    </row>
    <row r="357" spans="1:10">
      <c r="A357" s="185"/>
      <c r="B357" s="185"/>
      <c r="C357" s="185"/>
      <c r="D357" s="185"/>
      <c r="E357" s="191"/>
      <c r="F357" s="185"/>
      <c r="G357" s="185"/>
      <c r="H357" s="185"/>
      <c r="I357" s="185"/>
      <c r="J357" s="185"/>
    </row>
    <row r="358" spans="1:10">
      <c r="A358" s="185"/>
      <c r="B358" s="185"/>
      <c r="C358" s="185"/>
      <c r="D358" s="185"/>
      <c r="E358" s="191"/>
      <c r="F358" s="185"/>
      <c r="G358" s="185"/>
      <c r="H358" s="185"/>
      <c r="I358" s="185"/>
      <c r="J358" s="185"/>
    </row>
    <row r="359" spans="1:10">
      <c r="A359" s="185"/>
      <c r="B359" s="185"/>
      <c r="C359" s="185"/>
      <c r="D359" s="185"/>
      <c r="E359" s="191"/>
      <c r="F359" s="185"/>
      <c r="G359" s="185"/>
      <c r="H359" s="185"/>
      <c r="I359" s="185"/>
      <c r="J359" s="185"/>
    </row>
    <row r="360" spans="1:10">
      <c r="A360" s="185"/>
      <c r="B360" s="185"/>
      <c r="C360" s="185"/>
      <c r="D360" s="185"/>
      <c r="E360" s="191"/>
      <c r="F360" s="185"/>
      <c r="G360" s="185"/>
      <c r="H360" s="185"/>
      <c r="I360" s="185"/>
      <c r="J360" s="185"/>
    </row>
    <row r="361" spans="1:10">
      <c r="A361" s="185"/>
      <c r="B361" s="185"/>
      <c r="C361" s="185"/>
      <c r="D361" s="185"/>
      <c r="E361" s="191"/>
      <c r="F361" s="185"/>
      <c r="G361" s="185"/>
      <c r="H361" s="185"/>
      <c r="I361" s="185"/>
      <c r="J361" s="185"/>
    </row>
    <row r="362" spans="1:10">
      <c r="A362" s="185"/>
      <c r="B362" s="185"/>
      <c r="C362" s="185"/>
      <c r="D362" s="185"/>
      <c r="E362" s="191"/>
      <c r="F362" s="185"/>
      <c r="G362" s="185"/>
      <c r="H362" s="185"/>
      <c r="I362" s="185"/>
      <c r="J362" s="185"/>
    </row>
    <row r="363" spans="1:10">
      <c r="A363" s="185"/>
      <c r="B363" s="185"/>
      <c r="C363" s="185"/>
      <c r="D363" s="185"/>
      <c r="E363" s="191"/>
      <c r="F363" s="185"/>
      <c r="G363" s="185"/>
      <c r="H363" s="185"/>
      <c r="I363" s="185"/>
      <c r="J363" s="185"/>
    </row>
    <row r="364" spans="1:10">
      <c r="A364" s="185"/>
      <c r="B364" s="185"/>
      <c r="C364" s="185"/>
      <c r="D364" s="185"/>
      <c r="E364" s="191"/>
      <c r="F364" s="185"/>
      <c r="G364" s="185"/>
      <c r="H364" s="185"/>
      <c r="I364" s="185"/>
      <c r="J364" s="185"/>
    </row>
    <row r="365" spans="1:10">
      <c r="A365" s="185"/>
      <c r="B365" s="185"/>
      <c r="C365" s="185"/>
      <c r="D365" s="185"/>
      <c r="E365" s="191"/>
      <c r="F365" s="185"/>
      <c r="G365" s="185"/>
      <c r="H365" s="185"/>
      <c r="I365" s="185"/>
      <c r="J365" s="185"/>
    </row>
    <row r="366" spans="1:10">
      <c r="A366" s="185"/>
      <c r="B366" s="185"/>
      <c r="C366" s="185"/>
      <c r="D366" s="185"/>
      <c r="E366" s="191"/>
      <c r="F366" s="185"/>
      <c r="G366" s="185"/>
      <c r="H366" s="185"/>
      <c r="I366" s="185"/>
      <c r="J366" s="185"/>
    </row>
    <row r="367" spans="1:10">
      <c r="A367" s="185"/>
      <c r="B367" s="185"/>
      <c r="C367" s="185"/>
      <c r="D367" s="185"/>
      <c r="E367" s="191"/>
      <c r="F367" s="185"/>
      <c r="G367" s="185"/>
      <c r="H367" s="185"/>
      <c r="I367" s="185"/>
      <c r="J367" s="185"/>
    </row>
    <row r="368" spans="1:10">
      <c r="A368" s="185"/>
      <c r="B368" s="185"/>
      <c r="C368" s="185"/>
      <c r="D368" s="185"/>
      <c r="E368" s="191"/>
      <c r="F368" s="185"/>
      <c r="G368" s="185"/>
      <c r="H368" s="185"/>
      <c r="I368" s="185"/>
      <c r="J368" s="185"/>
    </row>
    <row r="369" spans="1:10">
      <c r="A369" s="185"/>
      <c r="B369" s="185"/>
      <c r="C369" s="185"/>
      <c r="D369" s="185"/>
      <c r="E369" s="191"/>
      <c r="F369" s="185"/>
      <c r="G369" s="185"/>
      <c r="H369" s="185"/>
      <c r="I369" s="185"/>
      <c r="J369" s="185"/>
    </row>
    <row r="370" spans="1:10">
      <c r="A370" s="185"/>
      <c r="B370" s="185"/>
      <c r="C370" s="185"/>
      <c r="D370" s="185"/>
      <c r="E370" s="191"/>
      <c r="F370" s="185"/>
      <c r="G370" s="185"/>
      <c r="H370" s="185"/>
      <c r="I370" s="185"/>
      <c r="J370" s="185"/>
    </row>
    <row r="371" spans="1:10">
      <c r="A371" s="185"/>
      <c r="B371" s="185"/>
      <c r="C371" s="185"/>
      <c r="D371" s="185"/>
      <c r="E371" s="191"/>
      <c r="F371" s="185"/>
      <c r="G371" s="185"/>
      <c r="H371" s="185"/>
      <c r="I371" s="185"/>
      <c r="J371" s="185"/>
    </row>
    <row r="372" spans="1:10">
      <c r="A372" s="185"/>
      <c r="B372" s="185"/>
      <c r="C372" s="185"/>
      <c r="D372" s="185"/>
      <c r="E372" s="191"/>
      <c r="F372" s="185"/>
      <c r="G372" s="185"/>
      <c r="H372" s="185"/>
      <c r="I372" s="185"/>
      <c r="J372" s="185"/>
    </row>
    <row r="373" spans="1:10">
      <c r="A373" s="185"/>
      <c r="B373" s="185"/>
      <c r="C373" s="185"/>
      <c r="D373" s="185"/>
      <c r="E373" s="191"/>
      <c r="F373" s="185"/>
      <c r="G373" s="185"/>
      <c r="H373" s="185"/>
      <c r="I373" s="185"/>
      <c r="J373" s="185"/>
    </row>
    <row r="374" spans="1:10">
      <c r="A374" s="185"/>
      <c r="B374" s="185"/>
      <c r="C374" s="185"/>
      <c r="D374" s="185"/>
      <c r="E374" s="191"/>
      <c r="F374" s="185"/>
      <c r="G374" s="185"/>
      <c r="H374" s="185"/>
      <c r="I374" s="185"/>
      <c r="J374" s="185"/>
    </row>
    <row r="375" spans="1:10">
      <c r="A375" s="185"/>
      <c r="B375" s="185"/>
      <c r="C375" s="185"/>
      <c r="D375" s="185"/>
      <c r="E375" s="191"/>
      <c r="F375" s="185"/>
      <c r="G375" s="185"/>
      <c r="H375" s="185"/>
      <c r="I375" s="185"/>
      <c r="J375" s="185"/>
    </row>
    <row r="376" spans="1:10">
      <c r="A376" s="185"/>
      <c r="B376" s="185"/>
      <c r="C376" s="185"/>
      <c r="D376" s="185"/>
      <c r="E376" s="191"/>
      <c r="F376" s="185"/>
      <c r="G376" s="185"/>
      <c r="H376" s="185"/>
      <c r="I376" s="185"/>
      <c r="J376" s="185"/>
    </row>
    <row r="377" spans="1:10">
      <c r="A377" s="185"/>
      <c r="B377" s="185"/>
      <c r="C377" s="185"/>
      <c r="D377" s="185"/>
      <c r="E377" s="191"/>
      <c r="F377" s="185"/>
      <c r="G377" s="185"/>
      <c r="H377" s="185"/>
      <c r="I377" s="185"/>
      <c r="J377" s="185"/>
    </row>
    <row r="378" spans="1:10">
      <c r="A378" s="185"/>
      <c r="B378" s="185"/>
      <c r="C378" s="185"/>
      <c r="D378" s="185"/>
      <c r="E378" s="191"/>
      <c r="F378" s="185"/>
      <c r="G378" s="185"/>
      <c r="H378" s="185"/>
      <c r="I378" s="185"/>
      <c r="J378" s="185"/>
    </row>
    <row r="379" spans="1:10">
      <c r="A379" s="185"/>
      <c r="B379" s="185"/>
      <c r="C379" s="185"/>
      <c r="D379" s="185"/>
      <c r="E379" s="191"/>
      <c r="F379" s="185"/>
      <c r="G379" s="185"/>
      <c r="H379" s="185"/>
      <c r="I379" s="185"/>
      <c r="J379" s="185"/>
    </row>
    <row r="380" spans="1:10">
      <c r="A380" s="185"/>
      <c r="B380" s="185"/>
      <c r="C380" s="185"/>
      <c r="D380" s="185"/>
      <c r="E380" s="191"/>
      <c r="F380" s="185"/>
      <c r="G380" s="185"/>
      <c r="H380" s="185"/>
      <c r="I380" s="185"/>
      <c r="J380" s="185"/>
    </row>
    <row r="381" spans="1:10">
      <c r="A381" s="185"/>
      <c r="B381" s="185"/>
      <c r="C381" s="185"/>
      <c r="D381" s="185"/>
      <c r="E381" s="191"/>
      <c r="F381" s="185"/>
      <c r="G381" s="185"/>
      <c r="H381" s="185"/>
      <c r="I381" s="185"/>
      <c r="J381" s="185"/>
    </row>
    <row r="382" spans="1:10">
      <c r="A382" s="185"/>
      <c r="B382" s="185"/>
      <c r="C382" s="185"/>
      <c r="D382" s="185"/>
      <c r="E382" s="191"/>
      <c r="F382" s="185"/>
      <c r="G382" s="185"/>
      <c r="H382" s="185"/>
      <c r="I382" s="185"/>
      <c r="J382" s="185"/>
    </row>
    <row r="383" spans="1:10">
      <c r="A383" s="185"/>
      <c r="B383" s="185"/>
      <c r="C383" s="185"/>
      <c r="D383" s="185"/>
      <c r="E383" s="191"/>
      <c r="F383" s="185"/>
      <c r="G383" s="185"/>
      <c r="H383" s="185"/>
      <c r="I383" s="185"/>
      <c r="J383" s="185"/>
    </row>
    <row r="384" spans="1:10">
      <c r="A384" s="185"/>
      <c r="B384" s="185"/>
      <c r="C384" s="185"/>
      <c r="D384" s="185"/>
      <c r="E384" s="191"/>
      <c r="F384" s="185"/>
      <c r="G384" s="185"/>
      <c r="H384" s="185"/>
      <c r="I384" s="185"/>
      <c r="J384" s="185"/>
    </row>
    <row r="385" spans="1:10">
      <c r="A385" s="185"/>
      <c r="B385" s="185"/>
      <c r="C385" s="185"/>
      <c r="D385" s="185"/>
      <c r="E385" s="191"/>
      <c r="F385" s="185"/>
      <c r="G385" s="185"/>
      <c r="H385" s="185"/>
      <c r="I385" s="185"/>
      <c r="J385" s="185"/>
    </row>
    <row r="386" spans="1:10">
      <c r="A386" s="185"/>
      <c r="B386" s="185"/>
      <c r="C386" s="185"/>
      <c r="D386" s="185"/>
      <c r="E386" s="191"/>
      <c r="F386" s="185"/>
      <c r="G386" s="185"/>
      <c r="H386" s="185"/>
      <c r="I386" s="185"/>
      <c r="J386" s="185"/>
    </row>
    <row r="387" spans="1:10">
      <c r="A387" s="185"/>
      <c r="B387" s="185"/>
      <c r="C387" s="185"/>
      <c r="D387" s="185"/>
      <c r="E387" s="191"/>
      <c r="F387" s="185"/>
      <c r="G387" s="185"/>
      <c r="H387" s="185"/>
      <c r="I387" s="185"/>
      <c r="J387" s="185"/>
    </row>
    <row r="388" spans="1:10">
      <c r="A388" s="185"/>
      <c r="B388" s="185"/>
      <c r="C388" s="185"/>
      <c r="D388" s="185"/>
      <c r="E388" s="191"/>
      <c r="F388" s="185"/>
      <c r="G388" s="185"/>
      <c r="H388" s="185"/>
      <c r="I388" s="185"/>
      <c r="J388" s="185"/>
    </row>
    <row r="389" spans="1:10">
      <c r="A389" s="185"/>
      <c r="B389" s="185"/>
      <c r="C389" s="185"/>
      <c r="D389" s="185"/>
      <c r="E389" s="191"/>
      <c r="F389" s="185"/>
      <c r="G389" s="185"/>
      <c r="H389" s="185"/>
      <c r="I389" s="185"/>
      <c r="J389" s="185"/>
    </row>
    <row r="390" spans="1:10">
      <c r="A390" s="185"/>
      <c r="B390" s="185"/>
      <c r="C390" s="185"/>
      <c r="D390" s="185"/>
      <c r="E390" s="191"/>
      <c r="F390" s="185"/>
      <c r="G390" s="185"/>
      <c r="H390" s="185"/>
      <c r="I390" s="185"/>
      <c r="J390" s="185"/>
    </row>
    <row r="391" spans="1:10">
      <c r="A391" s="185"/>
      <c r="B391" s="185"/>
      <c r="C391" s="185"/>
      <c r="D391" s="185"/>
      <c r="E391" s="191"/>
      <c r="F391" s="185"/>
      <c r="G391" s="185"/>
      <c r="H391" s="185"/>
      <c r="I391" s="185"/>
      <c r="J391" s="185"/>
    </row>
    <row r="392" spans="1:10">
      <c r="A392" s="185"/>
      <c r="B392" s="185"/>
      <c r="C392" s="185"/>
      <c r="D392" s="185"/>
      <c r="E392" s="191"/>
      <c r="F392" s="185"/>
      <c r="G392" s="185"/>
      <c r="H392" s="185"/>
      <c r="I392" s="185"/>
      <c r="J392" s="185"/>
    </row>
    <row r="393" spans="1:10">
      <c r="A393" s="185"/>
      <c r="B393" s="185"/>
      <c r="C393" s="185"/>
      <c r="D393" s="185"/>
      <c r="E393" s="191"/>
      <c r="F393" s="185"/>
      <c r="G393" s="185"/>
      <c r="H393" s="185"/>
      <c r="I393" s="185"/>
      <c r="J393" s="185"/>
    </row>
    <row r="394" spans="1:10">
      <c r="A394" s="185"/>
      <c r="B394" s="185"/>
      <c r="C394" s="185"/>
      <c r="D394" s="185"/>
      <c r="E394" s="191"/>
      <c r="F394" s="185"/>
      <c r="G394" s="185"/>
      <c r="H394" s="185"/>
      <c r="I394" s="185"/>
      <c r="J394" s="185"/>
    </row>
    <row r="395" spans="1:10">
      <c r="A395" s="185"/>
      <c r="B395" s="185"/>
      <c r="C395" s="185"/>
      <c r="D395" s="185"/>
      <c r="E395" s="191"/>
      <c r="F395" s="185"/>
      <c r="G395" s="185"/>
      <c r="H395" s="185"/>
      <c r="I395" s="185"/>
      <c r="J395" s="185"/>
    </row>
    <row r="396" spans="1:10">
      <c r="A396" s="185"/>
      <c r="B396" s="185"/>
      <c r="C396" s="185"/>
      <c r="D396" s="185"/>
      <c r="E396" s="191"/>
      <c r="F396" s="185"/>
      <c r="G396" s="185"/>
      <c r="H396" s="185"/>
      <c r="I396" s="185"/>
      <c r="J396" s="185"/>
    </row>
    <row r="397" spans="1:10">
      <c r="A397" s="185"/>
      <c r="B397" s="185"/>
      <c r="C397" s="185"/>
      <c r="D397" s="185"/>
      <c r="E397" s="191"/>
      <c r="F397" s="185"/>
      <c r="G397" s="185"/>
      <c r="H397" s="185"/>
      <c r="I397" s="185"/>
      <c r="J397" s="185"/>
    </row>
    <row r="398" spans="1:10">
      <c r="A398" s="185"/>
      <c r="B398" s="185"/>
      <c r="C398" s="185"/>
      <c r="D398" s="185"/>
      <c r="E398" s="191"/>
      <c r="F398" s="185"/>
      <c r="G398" s="185"/>
      <c r="H398" s="185"/>
      <c r="I398" s="185"/>
      <c r="J398" s="185"/>
    </row>
    <row r="399" spans="1:10">
      <c r="A399" s="185"/>
      <c r="B399" s="185"/>
      <c r="C399" s="185"/>
      <c r="D399" s="185"/>
      <c r="E399" s="191"/>
      <c r="F399" s="185"/>
      <c r="G399" s="185"/>
      <c r="H399" s="185"/>
      <c r="I399" s="185"/>
      <c r="J399" s="185"/>
    </row>
    <row r="400" spans="1:10">
      <c r="A400" s="185"/>
      <c r="B400" s="185"/>
      <c r="C400" s="185"/>
      <c r="D400" s="185"/>
      <c r="E400" s="191"/>
      <c r="F400" s="185"/>
      <c r="G400" s="185"/>
      <c r="H400" s="185"/>
      <c r="I400" s="185"/>
      <c r="J400" s="185"/>
    </row>
    <row r="401" spans="1:10">
      <c r="A401" s="185"/>
      <c r="B401" s="185"/>
      <c r="C401" s="185"/>
      <c r="D401" s="185"/>
      <c r="E401" s="191"/>
      <c r="F401" s="185"/>
      <c r="G401" s="185"/>
      <c r="H401" s="185"/>
      <c r="I401" s="185"/>
      <c r="J401" s="185"/>
    </row>
    <row r="402" spans="1:10">
      <c r="A402" s="185"/>
      <c r="B402" s="185"/>
      <c r="C402" s="185"/>
      <c r="D402" s="185"/>
      <c r="E402" s="191"/>
      <c r="F402" s="185"/>
      <c r="G402" s="185"/>
      <c r="H402" s="185"/>
      <c r="I402" s="185"/>
      <c r="J402" s="185"/>
    </row>
    <row r="403" spans="1:10">
      <c r="A403" s="185"/>
      <c r="B403" s="185"/>
      <c r="C403" s="185"/>
      <c r="D403" s="185"/>
      <c r="E403" s="191"/>
      <c r="F403" s="185"/>
      <c r="G403" s="185"/>
      <c r="H403" s="185"/>
      <c r="I403" s="185"/>
      <c r="J403" s="185"/>
    </row>
    <row r="404" spans="1:10">
      <c r="A404" s="185"/>
      <c r="B404" s="185"/>
      <c r="C404" s="185"/>
      <c r="D404" s="185"/>
      <c r="E404" s="191"/>
      <c r="F404" s="185"/>
      <c r="G404" s="185"/>
      <c r="H404" s="185"/>
      <c r="I404" s="185"/>
      <c r="J404" s="185"/>
    </row>
    <row r="405" spans="1:10">
      <c r="A405" s="185"/>
      <c r="B405" s="185"/>
      <c r="C405" s="185"/>
      <c r="D405" s="185"/>
      <c r="E405" s="191"/>
      <c r="F405" s="185"/>
      <c r="G405" s="185"/>
      <c r="H405" s="185"/>
      <c r="I405" s="185"/>
      <c r="J405" s="185"/>
    </row>
    <row r="406" spans="1:10">
      <c r="A406" s="185"/>
      <c r="B406" s="185"/>
      <c r="C406" s="185"/>
      <c r="D406" s="185"/>
      <c r="E406" s="191"/>
      <c r="F406" s="185"/>
      <c r="G406" s="185"/>
      <c r="H406" s="185"/>
      <c r="I406" s="185"/>
      <c r="J406" s="185"/>
    </row>
    <row r="407" spans="1:10">
      <c r="A407" s="185"/>
      <c r="B407" s="185"/>
      <c r="C407" s="185"/>
      <c r="D407" s="185"/>
      <c r="E407" s="191"/>
      <c r="F407" s="185"/>
      <c r="G407" s="185"/>
      <c r="H407" s="185"/>
      <c r="I407" s="185"/>
      <c r="J407" s="185"/>
    </row>
    <row r="408" spans="1:10">
      <c r="A408" s="185"/>
      <c r="B408" s="185"/>
      <c r="C408" s="185"/>
      <c r="D408" s="185"/>
      <c r="E408" s="191"/>
      <c r="F408" s="185"/>
      <c r="G408" s="185"/>
      <c r="H408" s="185"/>
      <c r="I408" s="185"/>
      <c r="J408" s="185"/>
    </row>
    <row r="409" spans="1:10">
      <c r="A409" s="185"/>
      <c r="B409" s="185"/>
      <c r="C409" s="185"/>
      <c r="D409" s="185"/>
      <c r="E409" s="191"/>
      <c r="F409" s="185"/>
      <c r="G409" s="185"/>
      <c r="H409" s="185"/>
      <c r="I409" s="185"/>
      <c r="J409" s="185"/>
    </row>
    <row r="410" spans="1:10">
      <c r="A410" s="185"/>
      <c r="B410" s="185"/>
      <c r="C410" s="185"/>
      <c r="D410" s="185"/>
      <c r="E410" s="191"/>
      <c r="F410" s="185"/>
      <c r="G410" s="185"/>
      <c r="H410" s="185"/>
      <c r="I410" s="185"/>
      <c r="J410" s="185"/>
    </row>
    <row r="411" spans="1:10">
      <c r="A411" s="185"/>
      <c r="B411" s="185"/>
      <c r="C411" s="185"/>
      <c r="D411" s="185"/>
      <c r="E411" s="191"/>
      <c r="F411" s="185"/>
      <c r="G411" s="185"/>
      <c r="H411" s="185"/>
      <c r="I411" s="185"/>
      <c r="J411" s="185"/>
    </row>
    <row r="412" spans="1:10">
      <c r="A412" s="185"/>
      <c r="B412" s="185"/>
      <c r="C412" s="185"/>
      <c r="D412" s="185"/>
      <c r="E412" s="191"/>
      <c r="F412" s="185"/>
      <c r="G412" s="185"/>
      <c r="H412" s="185"/>
      <c r="I412" s="185"/>
      <c r="J412" s="185"/>
    </row>
    <row r="413" spans="1:10">
      <c r="A413" s="185"/>
      <c r="B413" s="185"/>
      <c r="C413" s="185"/>
      <c r="D413" s="185"/>
      <c r="E413" s="191"/>
      <c r="F413" s="185"/>
      <c r="G413" s="185"/>
      <c r="H413" s="185"/>
      <c r="I413" s="185"/>
      <c r="J413" s="185"/>
    </row>
    <row r="414" spans="1:10">
      <c r="A414" s="185"/>
      <c r="B414" s="185"/>
      <c r="C414" s="185"/>
      <c r="D414" s="185"/>
      <c r="E414" s="191"/>
      <c r="F414" s="185"/>
      <c r="G414" s="185"/>
      <c r="H414" s="185"/>
      <c r="I414" s="185"/>
      <c r="J414" s="185"/>
    </row>
    <row r="415" spans="1:10">
      <c r="A415" s="185"/>
      <c r="B415" s="185"/>
      <c r="C415" s="185"/>
      <c r="D415" s="185"/>
      <c r="E415" s="191"/>
      <c r="F415" s="185"/>
      <c r="G415" s="185"/>
      <c r="H415" s="185"/>
      <c r="I415" s="185"/>
      <c r="J415" s="185"/>
    </row>
    <row r="416" spans="1:10">
      <c r="A416" s="185"/>
      <c r="B416" s="185"/>
      <c r="C416" s="185"/>
      <c r="D416" s="185"/>
      <c r="E416" s="191"/>
      <c r="F416" s="185"/>
      <c r="G416" s="185"/>
      <c r="H416" s="185"/>
      <c r="I416" s="185"/>
      <c r="J416" s="185"/>
    </row>
    <row r="417" spans="1:10">
      <c r="A417" s="185"/>
      <c r="B417" s="185"/>
      <c r="C417" s="185"/>
      <c r="D417" s="185"/>
      <c r="E417" s="191"/>
      <c r="F417" s="185"/>
      <c r="G417" s="185"/>
      <c r="H417" s="185"/>
      <c r="I417" s="185"/>
      <c r="J417" s="185"/>
    </row>
    <row r="418" spans="1:10">
      <c r="A418" s="185"/>
      <c r="B418" s="185"/>
      <c r="C418" s="185"/>
      <c r="D418" s="185"/>
      <c r="E418" s="191"/>
      <c r="F418" s="185"/>
      <c r="G418" s="185"/>
      <c r="H418" s="185"/>
      <c r="I418" s="185"/>
      <c r="J418" s="185"/>
    </row>
    <row r="419" spans="1:10">
      <c r="A419" s="185"/>
      <c r="B419" s="185"/>
      <c r="C419" s="185"/>
      <c r="D419" s="185"/>
      <c r="E419" s="191"/>
      <c r="F419" s="185"/>
      <c r="G419" s="185"/>
      <c r="H419" s="185"/>
      <c r="I419" s="185"/>
      <c r="J419" s="185"/>
    </row>
    <row r="420" spans="1:10">
      <c r="A420" s="185"/>
      <c r="B420" s="185"/>
      <c r="C420" s="185"/>
      <c r="D420" s="185"/>
      <c r="E420" s="191"/>
      <c r="F420" s="185"/>
      <c r="G420" s="185"/>
      <c r="H420" s="185"/>
      <c r="I420" s="185"/>
      <c r="J420" s="185"/>
    </row>
    <row r="421" spans="1:10">
      <c r="A421" s="185"/>
      <c r="B421" s="185"/>
      <c r="C421" s="185"/>
      <c r="D421" s="185"/>
      <c r="E421" s="191"/>
      <c r="F421" s="185"/>
      <c r="G421" s="185"/>
      <c r="H421" s="185"/>
      <c r="I421" s="185"/>
      <c r="J421" s="185"/>
    </row>
    <row r="422" spans="1:10">
      <c r="A422" s="185"/>
      <c r="B422" s="185"/>
      <c r="C422" s="185"/>
      <c r="D422" s="185"/>
      <c r="E422" s="191"/>
      <c r="F422" s="185"/>
      <c r="G422" s="185"/>
      <c r="H422" s="185"/>
      <c r="I422" s="185"/>
      <c r="J422" s="185"/>
    </row>
    <row r="423" spans="1:10">
      <c r="A423" s="185"/>
      <c r="B423" s="185"/>
      <c r="C423" s="185"/>
      <c r="D423" s="185"/>
      <c r="E423" s="191"/>
      <c r="F423" s="185"/>
      <c r="G423" s="185"/>
      <c r="H423" s="185"/>
      <c r="I423" s="185"/>
      <c r="J423" s="185"/>
    </row>
    <row r="424" spans="1:10">
      <c r="A424" s="185"/>
      <c r="B424" s="185"/>
      <c r="C424" s="185"/>
      <c r="D424" s="185"/>
      <c r="E424" s="191"/>
      <c r="F424" s="185"/>
      <c r="G424" s="185"/>
      <c r="H424" s="185"/>
      <c r="I424" s="185"/>
      <c r="J424" s="185"/>
    </row>
    <row r="425" spans="1:10">
      <c r="A425" s="185"/>
      <c r="B425" s="185"/>
      <c r="C425" s="185"/>
      <c r="D425" s="185"/>
      <c r="E425" s="191"/>
      <c r="F425" s="185"/>
      <c r="G425" s="185"/>
      <c r="H425" s="185"/>
      <c r="I425" s="185"/>
      <c r="J425" s="185"/>
    </row>
    <row r="426" spans="1:10">
      <c r="A426" s="185"/>
      <c r="B426" s="185"/>
      <c r="C426" s="185"/>
      <c r="D426" s="185"/>
      <c r="E426" s="191"/>
      <c r="F426" s="185"/>
      <c r="G426" s="185"/>
      <c r="H426" s="185"/>
      <c r="I426" s="185"/>
      <c r="J426" s="185"/>
    </row>
    <row r="427" spans="1:10">
      <c r="A427" s="185"/>
      <c r="B427" s="185"/>
      <c r="C427" s="185"/>
      <c r="D427" s="185"/>
      <c r="E427" s="191"/>
      <c r="F427" s="185"/>
      <c r="G427" s="185"/>
      <c r="H427" s="185"/>
      <c r="I427" s="185"/>
      <c r="J427" s="185"/>
    </row>
    <row r="428" spans="1:10">
      <c r="A428" s="185"/>
      <c r="B428" s="185"/>
      <c r="C428" s="185"/>
      <c r="D428" s="185"/>
      <c r="E428" s="191"/>
      <c r="F428" s="185"/>
      <c r="G428" s="185"/>
      <c r="H428" s="185"/>
      <c r="I428" s="185"/>
      <c r="J428" s="185"/>
    </row>
    <row r="429" spans="1:10">
      <c r="A429" s="185"/>
      <c r="B429" s="185"/>
      <c r="C429" s="185"/>
      <c r="D429" s="185"/>
      <c r="E429" s="191"/>
      <c r="F429" s="185"/>
      <c r="G429" s="185"/>
      <c r="H429" s="185"/>
      <c r="I429" s="185"/>
      <c r="J429" s="185"/>
    </row>
    <row r="430" spans="1:10">
      <c r="A430" s="185"/>
      <c r="B430" s="185"/>
      <c r="C430" s="185"/>
      <c r="D430" s="185"/>
      <c r="E430" s="191"/>
      <c r="F430" s="185"/>
      <c r="G430" s="185"/>
      <c r="H430" s="185"/>
      <c r="I430" s="185"/>
      <c r="J430" s="185"/>
    </row>
    <row r="431" spans="1:10">
      <c r="A431" s="185"/>
      <c r="B431" s="185"/>
      <c r="C431" s="185"/>
      <c r="D431" s="185"/>
      <c r="E431" s="191"/>
      <c r="F431" s="185"/>
      <c r="G431" s="185"/>
      <c r="H431" s="185"/>
      <c r="I431" s="185"/>
      <c r="J431" s="185"/>
    </row>
    <row r="432" spans="1:10">
      <c r="A432" s="185"/>
      <c r="B432" s="185"/>
      <c r="C432" s="185"/>
      <c r="D432" s="185"/>
      <c r="E432" s="191"/>
      <c r="F432" s="185"/>
      <c r="G432" s="185"/>
      <c r="H432" s="185"/>
      <c r="I432" s="185"/>
      <c r="J432" s="185"/>
    </row>
    <row r="433" spans="1:10">
      <c r="A433" s="185"/>
      <c r="B433" s="185"/>
      <c r="C433" s="185"/>
      <c r="D433" s="185"/>
      <c r="E433" s="191"/>
      <c r="F433" s="185"/>
      <c r="G433" s="185"/>
      <c r="H433" s="185"/>
      <c r="I433" s="185"/>
      <c r="J433" s="185"/>
    </row>
    <row r="434" spans="1:10">
      <c r="A434" s="185"/>
      <c r="B434" s="185"/>
      <c r="C434" s="185"/>
      <c r="D434" s="185"/>
      <c r="E434" s="191"/>
      <c r="F434" s="185"/>
      <c r="G434" s="185"/>
      <c r="H434" s="185"/>
      <c r="I434" s="185"/>
      <c r="J434" s="185"/>
    </row>
    <row r="435" spans="1:10">
      <c r="A435" s="185"/>
      <c r="B435" s="185"/>
      <c r="C435" s="185"/>
      <c r="D435" s="185"/>
      <c r="E435" s="191"/>
      <c r="F435" s="185"/>
      <c r="G435" s="185"/>
      <c r="H435" s="185"/>
      <c r="I435" s="185"/>
      <c r="J435" s="185"/>
    </row>
    <row r="436" spans="1:10">
      <c r="A436" s="185"/>
      <c r="B436" s="185"/>
      <c r="C436" s="185"/>
      <c r="D436" s="185"/>
      <c r="E436" s="191"/>
      <c r="F436" s="185"/>
      <c r="G436" s="185"/>
      <c r="H436" s="185"/>
      <c r="I436" s="185"/>
      <c r="J436" s="185"/>
    </row>
    <row r="437" spans="1:10">
      <c r="A437" s="185"/>
      <c r="B437" s="185"/>
      <c r="C437" s="185"/>
      <c r="D437" s="185"/>
      <c r="E437" s="191"/>
      <c r="F437" s="185"/>
      <c r="G437" s="185"/>
      <c r="H437" s="185"/>
      <c r="I437" s="185"/>
      <c r="J437" s="185"/>
    </row>
    <row r="438" spans="1:10">
      <c r="A438" s="185"/>
      <c r="B438" s="185"/>
      <c r="C438" s="185"/>
      <c r="D438" s="185"/>
      <c r="E438" s="191"/>
      <c r="F438" s="185"/>
      <c r="G438" s="185"/>
      <c r="H438" s="185"/>
      <c r="I438" s="185"/>
      <c r="J438" s="185"/>
    </row>
    <row r="439" spans="1:10">
      <c r="A439" s="185"/>
      <c r="B439" s="185"/>
      <c r="C439" s="185"/>
      <c r="D439" s="185"/>
      <c r="E439" s="191"/>
      <c r="F439" s="185"/>
      <c r="G439" s="185"/>
      <c r="H439" s="185"/>
      <c r="I439" s="185"/>
      <c r="J439" s="185"/>
    </row>
    <row r="440" spans="1:10">
      <c r="A440" s="185"/>
      <c r="B440" s="185"/>
      <c r="C440" s="185"/>
      <c r="D440" s="185"/>
      <c r="E440" s="191"/>
      <c r="F440" s="185"/>
      <c r="G440" s="185"/>
      <c r="H440" s="185"/>
      <c r="I440" s="185"/>
      <c r="J440" s="185"/>
    </row>
    <row r="441" spans="1:10">
      <c r="A441" s="185"/>
      <c r="B441" s="185"/>
      <c r="C441" s="185"/>
      <c r="D441" s="185"/>
      <c r="E441" s="191"/>
      <c r="F441" s="185"/>
      <c r="G441" s="185"/>
      <c r="H441" s="185"/>
      <c r="I441" s="185"/>
      <c r="J441" s="185"/>
    </row>
    <row r="442" spans="1:10">
      <c r="A442" s="185"/>
      <c r="B442" s="185"/>
      <c r="C442" s="185"/>
      <c r="D442" s="185"/>
      <c r="E442" s="191"/>
      <c r="F442" s="185"/>
      <c r="G442" s="185"/>
      <c r="H442" s="185"/>
      <c r="I442" s="185"/>
      <c r="J442" s="185"/>
    </row>
    <row r="443" spans="1:10">
      <c r="A443" s="185"/>
      <c r="B443" s="185"/>
      <c r="C443" s="185"/>
      <c r="D443" s="185"/>
      <c r="E443" s="191"/>
      <c r="F443" s="185"/>
      <c r="G443" s="185"/>
      <c r="H443" s="185"/>
      <c r="I443" s="185"/>
      <c r="J443" s="185"/>
    </row>
    <row r="444" spans="1:10">
      <c r="A444" s="185"/>
      <c r="B444" s="185"/>
      <c r="C444" s="185"/>
      <c r="D444" s="185"/>
      <c r="E444" s="191"/>
      <c r="F444" s="185"/>
      <c r="G444" s="185"/>
      <c r="H444" s="185"/>
      <c r="I444" s="185"/>
      <c r="J444" s="185"/>
    </row>
    <row r="445" spans="1:10">
      <c r="A445" s="185"/>
      <c r="B445" s="185"/>
      <c r="C445" s="185"/>
      <c r="D445" s="185"/>
      <c r="E445" s="191"/>
      <c r="F445" s="185"/>
      <c r="G445" s="185"/>
      <c r="H445" s="185"/>
      <c r="I445" s="185"/>
      <c r="J445" s="185"/>
    </row>
    <row r="446" spans="1:10">
      <c r="A446" s="185"/>
      <c r="B446" s="185"/>
      <c r="C446" s="185"/>
      <c r="D446" s="185"/>
      <c r="E446" s="191"/>
      <c r="F446" s="185"/>
      <c r="G446" s="185"/>
      <c r="H446" s="185"/>
      <c r="I446" s="185"/>
      <c r="J446" s="185"/>
    </row>
    <row r="447" spans="1:10">
      <c r="A447" s="185"/>
      <c r="B447" s="185"/>
      <c r="C447" s="185"/>
      <c r="D447" s="185"/>
      <c r="E447" s="191"/>
      <c r="F447" s="185"/>
      <c r="G447" s="185"/>
      <c r="H447" s="185"/>
      <c r="I447" s="185"/>
      <c r="J447" s="185"/>
    </row>
    <row r="448" spans="1:10">
      <c r="A448" s="185"/>
      <c r="B448" s="185"/>
      <c r="C448" s="185"/>
      <c r="D448" s="185"/>
      <c r="E448" s="191"/>
      <c r="F448" s="185"/>
      <c r="G448" s="185"/>
      <c r="H448" s="185"/>
      <c r="I448" s="185"/>
      <c r="J448" s="185"/>
    </row>
    <row r="449" spans="1:10">
      <c r="A449" s="185"/>
      <c r="B449" s="185"/>
      <c r="C449" s="185"/>
      <c r="D449" s="185"/>
      <c r="E449" s="191"/>
      <c r="F449" s="185"/>
      <c r="G449" s="185"/>
      <c r="H449" s="185"/>
      <c r="I449" s="185"/>
      <c r="J449" s="185"/>
    </row>
    <row r="450" spans="1:10">
      <c r="A450" s="185"/>
      <c r="B450" s="185"/>
      <c r="C450" s="185"/>
      <c r="D450" s="185"/>
      <c r="E450" s="191"/>
      <c r="F450" s="185"/>
      <c r="G450" s="185"/>
      <c r="H450" s="185"/>
      <c r="I450" s="185"/>
      <c r="J450" s="185"/>
    </row>
    <row r="451" spans="1:10">
      <c r="A451" s="185"/>
      <c r="B451" s="185"/>
      <c r="C451" s="185"/>
      <c r="D451" s="185"/>
      <c r="E451" s="191"/>
      <c r="F451" s="185"/>
      <c r="G451" s="185"/>
      <c r="H451" s="185"/>
      <c r="I451" s="185"/>
      <c r="J451" s="185"/>
    </row>
    <row r="452" spans="1:10">
      <c r="A452" s="185"/>
      <c r="B452" s="185"/>
      <c r="C452" s="185"/>
      <c r="D452" s="185"/>
      <c r="E452" s="191"/>
      <c r="F452" s="185"/>
      <c r="G452" s="185"/>
      <c r="H452" s="185"/>
      <c r="I452" s="185"/>
      <c r="J452" s="185"/>
    </row>
    <row r="453" spans="1:10">
      <c r="A453" s="185"/>
      <c r="B453" s="185"/>
      <c r="C453" s="185"/>
      <c r="D453" s="185"/>
      <c r="E453" s="191"/>
      <c r="F453" s="185"/>
      <c r="G453" s="185"/>
      <c r="H453" s="185"/>
      <c r="I453" s="185"/>
      <c r="J453" s="185"/>
    </row>
    <row r="454" spans="1:10">
      <c r="A454" s="185"/>
      <c r="B454" s="185"/>
      <c r="C454" s="185"/>
      <c r="D454" s="185"/>
      <c r="E454" s="191"/>
      <c r="F454" s="185"/>
      <c r="G454" s="185"/>
      <c r="H454" s="185"/>
      <c r="I454" s="185"/>
      <c r="J454" s="185"/>
    </row>
    <row r="455" spans="1:10">
      <c r="A455" s="185"/>
      <c r="B455" s="185"/>
      <c r="C455" s="185"/>
      <c r="D455" s="185"/>
      <c r="E455" s="191"/>
      <c r="F455" s="185"/>
      <c r="G455" s="185"/>
      <c r="H455" s="185"/>
      <c r="I455" s="185"/>
      <c r="J455" s="185"/>
    </row>
    <row r="456" spans="1:10">
      <c r="A456" s="185"/>
      <c r="B456" s="185"/>
      <c r="C456" s="185"/>
      <c r="D456" s="185"/>
      <c r="E456" s="191"/>
      <c r="F456" s="185"/>
      <c r="G456" s="185"/>
      <c r="H456" s="185"/>
      <c r="I456" s="185"/>
      <c r="J456" s="185"/>
    </row>
    <row r="457" spans="1:10">
      <c r="A457" s="185"/>
      <c r="B457" s="185"/>
      <c r="C457" s="185"/>
      <c r="D457" s="185"/>
      <c r="E457" s="191"/>
      <c r="F457" s="185"/>
      <c r="G457" s="185"/>
      <c r="H457" s="185"/>
      <c r="I457" s="185"/>
      <c r="J457" s="185"/>
    </row>
    <row r="458" spans="1:10">
      <c r="A458" s="185"/>
      <c r="B458" s="185"/>
      <c r="C458" s="185"/>
      <c r="D458" s="185"/>
      <c r="E458" s="191"/>
      <c r="F458" s="185"/>
      <c r="G458" s="185"/>
      <c r="H458" s="185"/>
      <c r="I458" s="185"/>
      <c r="J458" s="185"/>
    </row>
    <row r="459" spans="1:10">
      <c r="A459" s="185"/>
      <c r="B459" s="185"/>
      <c r="C459" s="185"/>
      <c r="D459" s="185"/>
      <c r="E459" s="191"/>
      <c r="F459" s="185"/>
      <c r="G459" s="185"/>
      <c r="H459" s="185"/>
      <c r="I459" s="185"/>
      <c r="J459" s="185"/>
    </row>
    <row r="460" spans="1:10">
      <c r="A460" s="185"/>
      <c r="B460" s="185"/>
      <c r="C460" s="185"/>
      <c r="D460" s="185"/>
      <c r="E460" s="191"/>
      <c r="F460" s="185"/>
      <c r="G460" s="185"/>
      <c r="H460" s="185"/>
      <c r="I460" s="185"/>
      <c r="J460" s="185"/>
    </row>
    <row r="461" spans="1:10">
      <c r="A461" s="185"/>
      <c r="B461" s="185"/>
      <c r="C461" s="185"/>
      <c r="D461" s="185"/>
      <c r="E461" s="191"/>
      <c r="F461" s="185"/>
      <c r="G461" s="185"/>
      <c r="H461" s="185"/>
      <c r="I461" s="185"/>
      <c r="J461" s="185"/>
    </row>
    <row r="462" spans="1:10">
      <c r="A462" s="185"/>
      <c r="B462" s="185"/>
      <c r="C462" s="185"/>
      <c r="D462" s="185"/>
      <c r="E462" s="191"/>
      <c r="F462" s="185"/>
      <c r="G462" s="185"/>
      <c r="H462" s="185"/>
      <c r="I462" s="185"/>
      <c r="J462" s="185"/>
    </row>
    <row r="463" spans="1:10">
      <c r="A463" s="185"/>
      <c r="B463" s="185"/>
      <c r="C463" s="185"/>
      <c r="D463" s="185"/>
      <c r="E463" s="191"/>
      <c r="F463" s="185"/>
      <c r="G463" s="185"/>
      <c r="H463" s="185"/>
      <c r="I463" s="185"/>
      <c r="J463" s="185"/>
    </row>
    <row r="464" spans="1:10">
      <c r="A464" s="185"/>
      <c r="B464" s="185"/>
      <c r="C464" s="185"/>
      <c r="D464" s="185"/>
      <c r="E464" s="191"/>
      <c r="F464" s="185"/>
      <c r="G464" s="185"/>
      <c r="H464" s="185"/>
      <c r="I464" s="185"/>
      <c r="J464" s="185"/>
    </row>
    <row r="465" spans="1:10">
      <c r="A465" s="185"/>
      <c r="B465" s="185"/>
      <c r="C465" s="185"/>
      <c r="D465" s="185"/>
      <c r="E465" s="191"/>
      <c r="F465" s="185"/>
      <c r="G465" s="185"/>
      <c r="H465" s="185"/>
      <c r="I465" s="185"/>
      <c r="J465" s="185"/>
    </row>
    <row r="466" spans="1:10">
      <c r="A466" s="185"/>
      <c r="B466" s="185"/>
      <c r="C466" s="185"/>
      <c r="D466" s="185"/>
      <c r="E466" s="191"/>
      <c r="F466" s="185"/>
      <c r="G466" s="185"/>
      <c r="H466" s="185"/>
      <c r="I466" s="185"/>
      <c r="J466" s="185"/>
    </row>
    <row r="467" spans="1:10">
      <c r="A467" s="185"/>
      <c r="B467" s="185"/>
      <c r="C467" s="185"/>
      <c r="D467" s="185"/>
      <c r="E467" s="191"/>
      <c r="F467" s="185"/>
      <c r="G467" s="185"/>
      <c r="H467" s="185"/>
      <c r="I467" s="185"/>
      <c r="J467" s="185"/>
    </row>
    <row r="468" spans="1:10">
      <c r="A468" s="185"/>
      <c r="B468" s="185"/>
      <c r="C468" s="185"/>
      <c r="D468" s="185"/>
      <c r="E468" s="191"/>
      <c r="F468" s="185"/>
      <c r="G468" s="185"/>
      <c r="H468" s="185"/>
      <c r="I468" s="185"/>
      <c r="J468" s="185"/>
    </row>
    <row r="469" spans="1:10">
      <c r="A469" s="185"/>
      <c r="B469" s="185"/>
      <c r="C469" s="185"/>
      <c r="D469" s="185"/>
      <c r="E469" s="191"/>
      <c r="F469" s="185"/>
      <c r="G469" s="185"/>
      <c r="H469" s="185"/>
      <c r="I469" s="185"/>
      <c r="J469" s="185"/>
    </row>
    <row r="470" spans="1:10">
      <c r="A470" s="185"/>
      <c r="B470" s="185"/>
      <c r="C470" s="185"/>
      <c r="D470" s="185"/>
      <c r="E470" s="191"/>
      <c r="F470" s="185"/>
      <c r="G470" s="185"/>
      <c r="H470" s="185"/>
      <c r="I470" s="185"/>
      <c r="J470" s="185"/>
    </row>
    <row r="471" spans="1:10">
      <c r="A471" s="185"/>
      <c r="B471" s="185"/>
      <c r="C471" s="185"/>
      <c r="D471" s="185"/>
      <c r="E471" s="191"/>
      <c r="F471" s="185"/>
      <c r="G471" s="185"/>
      <c r="H471" s="185"/>
      <c r="I471" s="185"/>
      <c r="J471" s="185"/>
    </row>
    <row r="472" spans="1:10">
      <c r="A472" s="185"/>
      <c r="B472" s="185"/>
      <c r="C472" s="185"/>
      <c r="D472" s="185"/>
      <c r="E472" s="191"/>
      <c r="F472" s="185"/>
      <c r="G472" s="185"/>
      <c r="H472" s="185"/>
      <c r="I472" s="185"/>
      <c r="J472" s="185"/>
    </row>
    <row r="473" spans="1:10">
      <c r="A473" s="185"/>
      <c r="B473" s="185"/>
      <c r="C473" s="185"/>
      <c r="D473" s="185"/>
      <c r="E473" s="191"/>
      <c r="F473" s="185"/>
      <c r="G473" s="185"/>
      <c r="H473" s="185"/>
      <c r="I473" s="185"/>
      <c r="J473" s="185"/>
    </row>
    <row r="474" spans="1:10">
      <c r="A474" s="185"/>
      <c r="B474" s="185"/>
      <c r="C474" s="185"/>
      <c r="D474" s="185"/>
      <c r="E474" s="191"/>
      <c r="F474" s="185"/>
      <c r="G474" s="185"/>
      <c r="H474" s="185"/>
      <c r="I474" s="185"/>
      <c r="J474" s="185"/>
    </row>
    <row r="475" spans="1:10">
      <c r="A475" s="185"/>
      <c r="B475" s="185"/>
      <c r="C475" s="185"/>
      <c r="D475" s="185"/>
      <c r="E475" s="191"/>
      <c r="F475" s="185"/>
      <c r="G475" s="185"/>
      <c r="H475" s="185"/>
      <c r="I475" s="185"/>
      <c r="J475" s="185"/>
    </row>
    <row r="476" spans="1:10">
      <c r="A476" s="185"/>
      <c r="B476" s="185"/>
      <c r="C476" s="185"/>
      <c r="D476" s="185"/>
      <c r="E476" s="191"/>
      <c r="F476" s="185"/>
      <c r="G476" s="185"/>
      <c r="H476" s="185"/>
      <c r="I476" s="185"/>
      <c r="J476" s="185"/>
    </row>
    <row r="477" spans="1:10">
      <c r="A477" s="185"/>
      <c r="B477" s="185"/>
      <c r="C477" s="185"/>
      <c r="D477" s="185"/>
      <c r="E477" s="191"/>
      <c r="F477" s="185"/>
      <c r="G477" s="185"/>
      <c r="H477" s="185"/>
      <c r="I477" s="185"/>
      <c r="J477" s="185"/>
    </row>
    <row r="478" spans="1:10">
      <c r="A478" s="185"/>
      <c r="B478" s="185"/>
      <c r="C478" s="185"/>
      <c r="D478" s="185"/>
      <c r="E478" s="191"/>
      <c r="F478" s="185"/>
      <c r="G478" s="185"/>
      <c r="H478" s="185"/>
      <c r="I478" s="185"/>
      <c r="J478" s="185"/>
    </row>
    <row r="479" spans="1:10">
      <c r="A479" s="185"/>
      <c r="B479" s="185"/>
      <c r="C479" s="185"/>
      <c r="D479" s="185"/>
      <c r="E479" s="191"/>
      <c r="F479" s="185"/>
      <c r="G479" s="185"/>
      <c r="H479" s="185"/>
      <c r="I479" s="185"/>
      <c r="J479" s="185"/>
    </row>
    <row r="480" spans="1:10">
      <c r="A480" s="185"/>
      <c r="B480" s="185"/>
      <c r="C480" s="185"/>
      <c r="D480" s="185"/>
      <c r="E480" s="191"/>
      <c r="F480" s="185"/>
      <c r="G480" s="185"/>
      <c r="H480" s="185"/>
      <c r="I480" s="185"/>
      <c r="J480" s="185"/>
    </row>
    <row r="481" spans="1:10">
      <c r="A481" s="185"/>
      <c r="B481" s="185"/>
      <c r="C481" s="185"/>
      <c r="D481" s="185"/>
      <c r="E481" s="191"/>
      <c r="F481" s="185"/>
      <c r="G481" s="185"/>
      <c r="H481" s="185"/>
      <c r="I481" s="185"/>
      <c r="J481" s="185"/>
    </row>
    <row r="482" spans="1:10">
      <c r="A482" s="185"/>
      <c r="B482" s="185"/>
      <c r="C482" s="185"/>
      <c r="D482" s="185"/>
      <c r="E482" s="191"/>
      <c r="F482" s="185"/>
      <c r="G482" s="185"/>
      <c r="H482" s="185"/>
      <c r="I482" s="185"/>
      <c r="J482" s="185"/>
    </row>
    <row r="483" spans="1:10">
      <c r="A483" s="185"/>
      <c r="B483" s="185"/>
      <c r="C483" s="185"/>
      <c r="D483" s="185"/>
      <c r="E483" s="191"/>
      <c r="F483" s="185"/>
      <c r="G483" s="185"/>
      <c r="H483" s="185"/>
      <c r="I483" s="185"/>
      <c r="J483" s="185"/>
    </row>
    <row r="484" spans="1:10">
      <c r="A484" s="185"/>
      <c r="B484" s="185"/>
      <c r="C484" s="185"/>
      <c r="D484" s="185"/>
      <c r="E484" s="191"/>
      <c r="F484" s="185"/>
      <c r="G484" s="185"/>
      <c r="H484" s="185"/>
      <c r="I484" s="185"/>
      <c r="J484" s="185"/>
    </row>
    <row r="485" spans="1:10">
      <c r="A485" s="185"/>
      <c r="B485" s="185"/>
      <c r="C485" s="185"/>
      <c r="D485" s="185"/>
      <c r="E485" s="191"/>
      <c r="F485" s="185"/>
      <c r="G485" s="185"/>
      <c r="H485" s="185"/>
      <c r="I485" s="185"/>
      <c r="J485" s="185"/>
    </row>
    <row r="486" spans="1:10">
      <c r="A486" s="185"/>
      <c r="B486" s="185"/>
      <c r="C486" s="185"/>
      <c r="D486" s="185"/>
      <c r="E486" s="191"/>
      <c r="F486" s="185"/>
      <c r="G486" s="185"/>
      <c r="H486" s="185"/>
      <c r="I486" s="185"/>
      <c r="J486" s="185"/>
    </row>
    <row r="487" spans="1:10">
      <c r="A487" s="185"/>
      <c r="B487" s="185"/>
      <c r="C487" s="185"/>
      <c r="D487" s="185"/>
      <c r="E487" s="191"/>
      <c r="F487" s="185"/>
      <c r="G487" s="185"/>
      <c r="H487" s="185"/>
      <c r="I487" s="185"/>
      <c r="J487" s="185"/>
    </row>
    <row r="488" spans="1:10">
      <c r="A488" s="185"/>
      <c r="B488" s="185"/>
      <c r="C488" s="185"/>
      <c r="D488" s="185"/>
      <c r="E488" s="191"/>
      <c r="F488" s="185"/>
      <c r="G488" s="185"/>
      <c r="H488" s="185"/>
      <c r="I488" s="185"/>
      <c r="J488" s="185"/>
    </row>
    <row r="489" spans="1:10">
      <c r="A489" s="185"/>
      <c r="B489" s="185"/>
      <c r="C489" s="185"/>
      <c r="D489" s="185"/>
      <c r="E489" s="191"/>
      <c r="F489" s="185"/>
      <c r="G489" s="185"/>
      <c r="H489" s="185"/>
      <c r="I489" s="185"/>
      <c r="J489" s="185"/>
    </row>
    <row r="490" spans="1:10">
      <c r="A490" s="185"/>
      <c r="B490" s="185"/>
      <c r="C490" s="185"/>
      <c r="D490" s="185"/>
      <c r="E490" s="191"/>
      <c r="F490" s="185"/>
      <c r="G490" s="185"/>
      <c r="H490" s="185"/>
      <c r="I490" s="185"/>
      <c r="J490" s="185"/>
    </row>
    <row r="491" spans="1:10">
      <c r="A491" s="185"/>
      <c r="B491" s="185"/>
      <c r="C491" s="185"/>
      <c r="D491" s="185"/>
      <c r="E491" s="191"/>
      <c r="F491" s="185"/>
      <c r="G491" s="185"/>
      <c r="H491" s="185"/>
      <c r="I491" s="185"/>
      <c r="J491" s="185"/>
    </row>
    <row r="492" spans="1:10">
      <c r="A492" s="185"/>
      <c r="B492" s="185"/>
      <c r="C492" s="185"/>
      <c r="D492" s="185"/>
      <c r="E492" s="191"/>
      <c r="F492" s="185"/>
      <c r="G492" s="185"/>
      <c r="H492" s="185"/>
      <c r="I492" s="185"/>
      <c r="J492" s="185"/>
    </row>
    <row r="493" spans="1:10">
      <c r="A493" s="185"/>
      <c r="B493" s="185"/>
      <c r="C493" s="185"/>
      <c r="D493" s="185"/>
      <c r="E493" s="191"/>
      <c r="F493" s="185"/>
      <c r="G493" s="185"/>
      <c r="H493" s="185"/>
      <c r="I493" s="185"/>
      <c r="J493" s="185"/>
    </row>
    <row r="494" spans="1:10">
      <c r="A494" s="185"/>
      <c r="B494" s="185"/>
      <c r="C494" s="185"/>
      <c r="D494" s="185"/>
      <c r="E494" s="191"/>
      <c r="F494" s="185"/>
      <c r="G494" s="185"/>
      <c r="H494" s="185"/>
      <c r="I494" s="185"/>
      <c r="J494" s="185"/>
    </row>
    <row r="495" spans="1:10">
      <c r="A495" s="185"/>
      <c r="B495" s="185"/>
      <c r="C495" s="185"/>
      <c r="D495" s="185"/>
      <c r="E495" s="191"/>
      <c r="F495" s="185"/>
      <c r="G495" s="185"/>
      <c r="H495" s="185"/>
      <c r="I495" s="185"/>
      <c r="J495" s="185"/>
    </row>
    <row r="496" spans="1:10">
      <c r="A496" s="185"/>
      <c r="B496" s="185"/>
      <c r="C496" s="185"/>
      <c r="D496" s="185"/>
      <c r="E496" s="191"/>
      <c r="F496" s="185"/>
      <c r="G496" s="185"/>
      <c r="H496" s="185"/>
      <c r="I496" s="185"/>
      <c r="J496" s="185"/>
    </row>
    <row r="497" spans="1:10">
      <c r="A497" s="185"/>
      <c r="B497" s="185"/>
      <c r="C497" s="185"/>
      <c r="D497" s="185"/>
      <c r="E497" s="191"/>
      <c r="F497" s="185"/>
      <c r="G497" s="185"/>
      <c r="H497" s="185"/>
      <c r="I497" s="185"/>
      <c r="J497" s="185"/>
    </row>
    <row r="498" spans="1:10">
      <c r="A498" s="185"/>
      <c r="B498" s="185"/>
      <c r="C498" s="185"/>
      <c r="D498" s="185"/>
      <c r="E498" s="191"/>
      <c r="F498" s="185"/>
      <c r="G498" s="185"/>
      <c r="H498" s="185"/>
      <c r="I498" s="185"/>
      <c r="J498" s="185"/>
    </row>
    <row r="499" spans="1:10">
      <c r="A499" s="185"/>
      <c r="B499" s="185"/>
      <c r="C499" s="185"/>
      <c r="D499" s="185"/>
      <c r="E499" s="191"/>
      <c r="F499" s="185"/>
      <c r="G499" s="185"/>
      <c r="H499" s="185"/>
      <c r="I499" s="185"/>
      <c r="J499" s="185"/>
    </row>
    <row r="500" spans="1:10">
      <c r="A500" s="185"/>
      <c r="B500" s="185"/>
      <c r="C500" s="185"/>
      <c r="D500" s="185"/>
      <c r="E500" s="191"/>
      <c r="F500" s="185"/>
      <c r="G500" s="185"/>
      <c r="H500" s="185"/>
      <c r="I500" s="185"/>
      <c r="J500" s="185"/>
    </row>
    <row r="501" spans="1:10">
      <c r="A501" s="185"/>
      <c r="B501" s="185"/>
      <c r="C501" s="185"/>
      <c r="D501" s="185"/>
      <c r="E501" s="191"/>
      <c r="F501" s="185"/>
      <c r="G501" s="185"/>
      <c r="H501" s="185"/>
      <c r="I501" s="185"/>
      <c r="J501" s="185"/>
    </row>
    <row r="502" spans="1:10">
      <c r="A502" s="185"/>
      <c r="B502" s="185"/>
      <c r="C502" s="185"/>
      <c r="D502" s="185"/>
      <c r="E502" s="191"/>
      <c r="F502" s="185"/>
      <c r="G502" s="185"/>
      <c r="H502" s="185"/>
      <c r="I502" s="185"/>
      <c r="J502" s="185"/>
    </row>
    <row r="503" spans="1:10">
      <c r="A503" s="185"/>
      <c r="B503" s="185"/>
      <c r="C503" s="185"/>
      <c r="D503" s="185"/>
      <c r="E503" s="191"/>
      <c r="F503" s="185"/>
      <c r="G503" s="185"/>
      <c r="H503" s="185"/>
      <c r="I503" s="185"/>
      <c r="J503" s="185"/>
    </row>
    <row r="504" spans="1:10">
      <c r="A504" s="185"/>
      <c r="B504" s="185"/>
      <c r="C504" s="185"/>
      <c r="D504" s="185"/>
      <c r="E504" s="191"/>
      <c r="F504" s="185"/>
      <c r="G504" s="185"/>
      <c r="H504" s="185"/>
      <c r="I504" s="185"/>
      <c r="J504" s="185"/>
    </row>
    <row r="505" spans="1:10">
      <c r="A505" s="185"/>
      <c r="B505" s="185"/>
      <c r="C505" s="185"/>
      <c r="D505" s="185"/>
      <c r="E505" s="191"/>
      <c r="F505" s="185"/>
      <c r="G505" s="185"/>
      <c r="H505" s="185"/>
      <c r="I505" s="185"/>
      <c r="J505" s="185"/>
    </row>
    <row r="506" spans="1:10">
      <c r="A506" s="185"/>
      <c r="B506" s="185"/>
      <c r="C506" s="185"/>
      <c r="D506" s="185"/>
      <c r="E506" s="191"/>
      <c r="F506" s="185"/>
      <c r="G506" s="185"/>
      <c r="H506" s="185"/>
      <c r="I506" s="185"/>
      <c r="J506" s="185"/>
    </row>
    <row r="507" spans="1:10">
      <c r="A507" s="185"/>
      <c r="B507" s="185"/>
      <c r="C507" s="185"/>
      <c r="D507" s="185"/>
      <c r="E507" s="191"/>
      <c r="F507" s="185"/>
      <c r="G507" s="185"/>
      <c r="H507" s="185"/>
      <c r="I507" s="185"/>
      <c r="J507" s="185"/>
    </row>
    <row r="508" spans="1:10">
      <c r="A508" s="185"/>
      <c r="B508" s="185"/>
      <c r="C508" s="185"/>
      <c r="D508" s="185"/>
      <c r="E508" s="191"/>
      <c r="F508" s="185"/>
      <c r="G508" s="185"/>
      <c r="H508" s="185"/>
      <c r="I508" s="185"/>
      <c r="J508" s="185"/>
    </row>
    <row r="509" spans="1:10">
      <c r="A509" s="185"/>
      <c r="B509" s="185"/>
      <c r="C509" s="185"/>
      <c r="D509" s="185"/>
      <c r="E509" s="191"/>
      <c r="F509" s="185"/>
      <c r="G509" s="185"/>
      <c r="H509" s="185"/>
      <c r="I509" s="185"/>
      <c r="J509" s="185"/>
    </row>
    <row r="510" spans="1:10">
      <c r="A510" s="185"/>
      <c r="B510" s="185"/>
      <c r="C510" s="185"/>
      <c r="D510" s="185"/>
      <c r="E510" s="191"/>
      <c r="F510" s="185"/>
      <c r="G510" s="185"/>
      <c r="H510" s="185"/>
      <c r="I510" s="185"/>
      <c r="J510" s="185"/>
    </row>
    <row r="511" spans="1:10">
      <c r="A511" s="185"/>
      <c r="B511" s="185"/>
      <c r="C511" s="185"/>
      <c r="D511" s="185"/>
      <c r="E511" s="191"/>
      <c r="F511" s="185"/>
      <c r="G511" s="185"/>
      <c r="H511" s="185"/>
      <c r="I511" s="185"/>
      <c r="J511" s="185"/>
    </row>
    <row r="512" spans="1:10">
      <c r="A512" s="185"/>
      <c r="B512" s="185"/>
      <c r="C512" s="185"/>
      <c r="D512" s="185"/>
      <c r="E512" s="191"/>
      <c r="F512" s="185"/>
      <c r="G512" s="185"/>
      <c r="H512" s="185"/>
      <c r="I512" s="185"/>
      <c r="J512" s="185"/>
    </row>
    <row r="513" spans="1:10">
      <c r="A513" s="185"/>
      <c r="B513" s="185"/>
      <c r="C513" s="185"/>
      <c r="D513" s="185"/>
      <c r="E513" s="191"/>
      <c r="F513" s="185"/>
      <c r="G513" s="185"/>
      <c r="H513" s="185"/>
      <c r="I513" s="185"/>
      <c r="J513" s="185"/>
    </row>
    <row r="514" spans="1:10">
      <c r="A514" s="185"/>
      <c r="B514" s="185"/>
      <c r="C514" s="185"/>
      <c r="D514" s="185"/>
      <c r="E514" s="191"/>
      <c r="F514" s="185"/>
      <c r="G514" s="185"/>
      <c r="H514" s="185"/>
      <c r="I514" s="185"/>
      <c r="J514" s="185"/>
    </row>
    <row r="515" spans="1:10">
      <c r="A515" s="185"/>
      <c r="B515" s="185"/>
      <c r="C515" s="185"/>
      <c r="D515" s="185"/>
      <c r="E515" s="191"/>
      <c r="F515" s="185"/>
      <c r="G515" s="185"/>
      <c r="H515" s="185"/>
      <c r="I515" s="185"/>
      <c r="J515" s="185"/>
    </row>
    <row r="516" spans="1:10">
      <c r="A516" s="185"/>
      <c r="B516" s="185"/>
      <c r="C516" s="185"/>
      <c r="D516" s="185"/>
      <c r="E516" s="191"/>
      <c r="F516" s="185"/>
      <c r="G516" s="185"/>
      <c r="H516" s="185"/>
      <c r="I516" s="185"/>
      <c r="J516" s="185"/>
    </row>
    <row r="517" spans="1:10">
      <c r="A517" s="185"/>
      <c r="B517" s="185"/>
      <c r="C517" s="185"/>
      <c r="D517" s="185"/>
      <c r="E517" s="191"/>
      <c r="F517" s="185"/>
      <c r="G517" s="185"/>
      <c r="H517" s="185"/>
      <c r="I517" s="185"/>
      <c r="J517" s="185"/>
    </row>
    <row r="518" spans="1:10">
      <c r="A518" s="185"/>
      <c r="B518" s="185"/>
      <c r="C518" s="185"/>
      <c r="D518" s="185"/>
      <c r="E518" s="191"/>
      <c r="F518" s="185"/>
      <c r="G518" s="185"/>
      <c r="H518" s="185"/>
      <c r="I518" s="185"/>
      <c r="J518" s="185"/>
    </row>
    <row r="519" spans="1:10">
      <c r="A519" s="185"/>
      <c r="B519" s="185"/>
      <c r="C519" s="185"/>
      <c r="D519" s="185"/>
      <c r="E519" s="191"/>
      <c r="F519" s="185"/>
      <c r="G519" s="185"/>
      <c r="H519" s="185"/>
      <c r="I519" s="185"/>
      <c r="J519" s="185"/>
    </row>
    <row r="520" spans="1:10">
      <c r="A520" s="185"/>
      <c r="B520" s="185"/>
      <c r="C520" s="185"/>
      <c r="D520" s="185"/>
      <c r="E520" s="191"/>
      <c r="F520" s="185"/>
      <c r="G520" s="185"/>
      <c r="H520" s="185"/>
      <c r="I520" s="185"/>
      <c r="J520" s="185"/>
    </row>
    <row r="521" spans="1:10">
      <c r="A521" s="185"/>
      <c r="B521" s="185"/>
      <c r="C521" s="185"/>
      <c r="D521" s="185"/>
      <c r="E521" s="191"/>
      <c r="F521" s="185"/>
      <c r="G521" s="185"/>
      <c r="H521" s="185"/>
      <c r="I521" s="185"/>
      <c r="J521" s="185"/>
    </row>
    <row r="522" spans="1:10">
      <c r="A522" s="185"/>
      <c r="B522" s="185"/>
      <c r="C522" s="185"/>
      <c r="D522" s="185"/>
      <c r="E522" s="191"/>
      <c r="F522" s="185"/>
      <c r="G522" s="185"/>
      <c r="H522" s="185"/>
      <c r="I522" s="185"/>
      <c r="J522" s="185"/>
    </row>
    <row r="523" spans="1:10">
      <c r="A523" s="185"/>
      <c r="B523" s="185"/>
      <c r="C523" s="185"/>
      <c r="D523" s="185"/>
      <c r="E523" s="191"/>
      <c r="F523" s="185"/>
      <c r="G523" s="185"/>
      <c r="H523" s="185"/>
      <c r="I523" s="185"/>
      <c r="J523" s="185"/>
    </row>
    <row r="524" spans="1:10">
      <c r="A524" s="185"/>
      <c r="B524" s="185"/>
      <c r="C524" s="185"/>
      <c r="D524" s="185"/>
      <c r="E524" s="191"/>
      <c r="F524" s="185"/>
      <c r="G524" s="185"/>
      <c r="H524" s="185"/>
      <c r="I524" s="185"/>
      <c r="J524" s="185"/>
    </row>
    <row r="525" spans="1:10">
      <c r="A525" s="185"/>
      <c r="B525" s="185"/>
      <c r="C525" s="185"/>
      <c r="D525" s="185"/>
      <c r="E525" s="191"/>
      <c r="F525" s="185"/>
      <c r="G525" s="185"/>
      <c r="H525" s="185"/>
      <c r="I525" s="185"/>
      <c r="J525" s="185"/>
    </row>
    <row r="526" spans="1:10">
      <c r="A526" s="185"/>
      <c r="B526" s="185"/>
      <c r="C526" s="185"/>
      <c r="D526" s="185"/>
      <c r="E526" s="191"/>
      <c r="F526" s="185"/>
      <c r="G526" s="185"/>
      <c r="H526" s="185"/>
      <c r="I526" s="185"/>
      <c r="J526" s="185"/>
    </row>
    <row r="527" spans="1:10">
      <c r="A527" s="185"/>
      <c r="B527" s="185"/>
      <c r="C527" s="185"/>
      <c r="D527" s="185"/>
      <c r="E527" s="191"/>
      <c r="F527" s="185"/>
      <c r="G527" s="185"/>
      <c r="H527" s="185"/>
      <c r="I527" s="185"/>
      <c r="J527" s="185"/>
    </row>
    <row r="528" spans="1:10">
      <c r="A528" s="185"/>
      <c r="B528" s="185"/>
      <c r="C528" s="185"/>
      <c r="D528" s="185"/>
      <c r="E528" s="191"/>
      <c r="F528" s="185"/>
      <c r="G528" s="185"/>
      <c r="H528" s="185"/>
      <c r="I528" s="185"/>
      <c r="J528" s="185"/>
    </row>
    <row r="529" spans="1:10">
      <c r="A529" s="185"/>
      <c r="B529" s="185"/>
      <c r="C529" s="185"/>
      <c r="D529" s="185"/>
      <c r="E529" s="191"/>
      <c r="F529" s="185"/>
      <c r="G529" s="185"/>
      <c r="H529" s="185"/>
      <c r="I529" s="185"/>
      <c r="J529" s="185"/>
    </row>
    <row r="530" spans="1:10">
      <c r="A530" s="185"/>
      <c r="B530" s="185"/>
      <c r="C530" s="185"/>
      <c r="D530" s="185"/>
      <c r="E530" s="191"/>
      <c r="F530" s="185"/>
      <c r="G530" s="185"/>
      <c r="H530" s="185"/>
      <c r="I530" s="185"/>
      <c r="J530" s="185"/>
    </row>
    <row r="531" spans="1:10">
      <c r="A531" s="185"/>
      <c r="B531" s="185"/>
      <c r="C531" s="185"/>
      <c r="D531" s="185"/>
      <c r="E531" s="191"/>
      <c r="F531" s="185"/>
      <c r="G531" s="185"/>
      <c r="H531" s="185"/>
      <c r="I531" s="185"/>
      <c r="J531" s="185"/>
    </row>
    <row r="532" spans="1:10">
      <c r="A532" s="185"/>
      <c r="B532" s="185"/>
      <c r="C532" s="185"/>
      <c r="D532" s="185"/>
      <c r="E532" s="191"/>
      <c r="F532" s="185"/>
      <c r="G532" s="185"/>
      <c r="H532" s="185"/>
      <c r="I532" s="185"/>
      <c r="J532" s="185"/>
    </row>
    <row r="533" spans="1:10">
      <c r="A533" s="185"/>
      <c r="B533" s="185"/>
      <c r="C533" s="185"/>
      <c r="D533" s="185"/>
      <c r="E533" s="191"/>
      <c r="F533" s="185"/>
      <c r="G533" s="185"/>
      <c r="H533" s="185"/>
      <c r="I533" s="185"/>
      <c r="J533" s="185"/>
    </row>
    <row r="534" spans="1:10">
      <c r="A534" s="185"/>
      <c r="B534" s="185"/>
      <c r="C534" s="185"/>
      <c r="D534" s="185"/>
      <c r="E534" s="191"/>
      <c r="F534" s="185"/>
      <c r="G534" s="185"/>
      <c r="H534" s="185"/>
      <c r="I534" s="185"/>
      <c r="J534" s="185"/>
    </row>
    <row r="535" spans="1:10">
      <c r="A535" s="185"/>
      <c r="B535" s="185"/>
      <c r="C535" s="185"/>
      <c r="D535" s="185"/>
      <c r="E535" s="191"/>
      <c r="F535" s="185"/>
      <c r="G535" s="185"/>
      <c r="H535" s="185"/>
      <c r="I535" s="185"/>
      <c r="J535" s="185"/>
    </row>
    <row r="536" spans="1:10">
      <c r="A536" s="185"/>
      <c r="B536" s="185"/>
      <c r="C536" s="185"/>
      <c r="D536" s="185"/>
      <c r="E536" s="191"/>
      <c r="F536" s="185"/>
      <c r="G536" s="185"/>
      <c r="H536" s="185"/>
      <c r="I536" s="185"/>
      <c r="J536" s="185"/>
    </row>
    <row r="537" spans="1:10">
      <c r="A537" s="185"/>
      <c r="B537" s="185"/>
      <c r="C537" s="185"/>
      <c r="D537" s="185"/>
      <c r="E537" s="191"/>
      <c r="F537" s="185"/>
      <c r="G537" s="185"/>
      <c r="H537" s="185"/>
      <c r="I537" s="185"/>
      <c r="J537" s="185"/>
    </row>
    <row r="538" spans="1:10">
      <c r="A538" s="185"/>
      <c r="B538" s="185"/>
      <c r="C538" s="185"/>
      <c r="D538" s="185"/>
      <c r="E538" s="191"/>
      <c r="F538" s="185"/>
      <c r="G538" s="185"/>
      <c r="H538" s="185"/>
      <c r="I538" s="185"/>
      <c r="J538" s="185"/>
    </row>
    <row r="539" spans="1:10">
      <c r="A539" s="185"/>
      <c r="B539" s="185"/>
      <c r="C539" s="185"/>
      <c r="D539" s="185"/>
      <c r="E539" s="191"/>
      <c r="F539" s="185"/>
      <c r="G539" s="185"/>
      <c r="H539" s="185"/>
      <c r="I539" s="185"/>
      <c r="J539" s="185"/>
    </row>
    <row r="540" spans="1:10">
      <c r="A540" s="185"/>
      <c r="B540" s="185"/>
      <c r="C540" s="185"/>
      <c r="D540" s="185"/>
      <c r="E540" s="191"/>
      <c r="F540" s="185"/>
      <c r="G540" s="185"/>
      <c r="H540" s="185"/>
      <c r="I540" s="185"/>
      <c r="J540" s="185"/>
    </row>
    <row r="541" spans="1:10">
      <c r="A541" s="185"/>
      <c r="B541" s="185"/>
      <c r="C541" s="185"/>
      <c r="D541" s="185"/>
      <c r="E541" s="191"/>
      <c r="F541" s="185"/>
      <c r="G541" s="185"/>
      <c r="H541" s="185"/>
      <c r="I541" s="185"/>
      <c r="J541" s="185"/>
    </row>
    <row r="542" spans="1:10">
      <c r="A542" s="185"/>
      <c r="B542" s="185"/>
      <c r="C542" s="185"/>
      <c r="D542" s="185"/>
      <c r="E542" s="191"/>
      <c r="F542" s="185"/>
      <c r="G542" s="185"/>
      <c r="H542" s="185"/>
      <c r="I542" s="185"/>
      <c r="J542" s="185"/>
    </row>
    <row r="543" spans="1:10">
      <c r="A543" s="185"/>
      <c r="B543" s="185"/>
      <c r="C543" s="185"/>
      <c r="D543" s="185"/>
      <c r="E543" s="191"/>
      <c r="F543" s="185"/>
      <c r="G543" s="185"/>
      <c r="H543" s="185"/>
      <c r="I543" s="185"/>
      <c r="J543" s="185"/>
    </row>
    <row r="544" spans="1:10">
      <c r="A544" s="185"/>
      <c r="B544" s="185"/>
      <c r="C544" s="185"/>
      <c r="D544" s="185"/>
      <c r="E544" s="191"/>
      <c r="F544" s="185"/>
      <c r="G544" s="185"/>
      <c r="H544" s="185"/>
      <c r="I544" s="185"/>
      <c r="J544" s="185"/>
    </row>
    <row r="545" spans="1:10">
      <c r="A545" s="185"/>
      <c r="B545" s="185"/>
      <c r="C545" s="185"/>
      <c r="D545" s="185"/>
      <c r="E545" s="191"/>
      <c r="F545" s="185"/>
      <c r="G545" s="185"/>
      <c r="H545" s="185"/>
      <c r="I545" s="185"/>
      <c r="J545" s="185"/>
    </row>
    <row r="546" spans="1:10">
      <c r="A546" s="185"/>
      <c r="B546" s="185"/>
      <c r="C546" s="185"/>
      <c r="D546" s="185"/>
      <c r="E546" s="191"/>
      <c r="F546" s="185"/>
      <c r="G546" s="185"/>
      <c r="H546" s="185"/>
      <c r="I546" s="185"/>
      <c r="J546" s="185"/>
    </row>
    <row r="547" spans="1:10">
      <c r="A547" s="185"/>
      <c r="B547" s="185"/>
      <c r="C547" s="185"/>
      <c r="D547" s="185"/>
      <c r="E547" s="191"/>
      <c r="F547" s="185"/>
      <c r="G547" s="185"/>
      <c r="H547" s="185"/>
      <c r="I547" s="185"/>
      <c r="J547" s="185"/>
    </row>
    <row r="548" spans="1:10">
      <c r="A548" s="185"/>
      <c r="B548" s="185"/>
      <c r="C548" s="185"/>
      <c r="D548" s="185"/>
      <c r="E548" s="191"/>
      <c r="F548" s="185"/>
      <c r="G548" s="185"/>
      <c r="H548" s="185"/>
      <c r="I548" s="185"/>
      <c r="J548" s="185"/>
    </row>
    <row r="549" spans="1:10">
      <c r="A549" s="185"/>
      <c r="B549" s="185"/>
      <c r="C549" s="185"/>
      <c r="D549" s="185"/>
      <c r="E549" s="191"/>
      <c r="F549" s="185"/>
      <c r="G549" s="185"/>
      <c r="H549" s="185"/>
      <c r="I549" s="185"/>
      <c r="J549" s="185"/>
    </row>
    <row r="550" spans="1:10">
      <c r="A550" s="185"/>
      <c r="B550" s="185"/>
      <c r="C550" s="185"/>
      <c r="D550" s="185"/>
      <c r="E550" s="191"/>
      <c r="F550" s="185"/>
      <c r="G550" s="185"/>
      <c r="H550" s="185"/>
      <c r="I550" s="185"/>
      <c r="J550" s="185"/>
    </row>
    <row r="551" spans="1:10">
      <c r="A551" s="185"/>
      <c r="B551" s="185"/>
      <c r="C551" s="185"/>
      <c r="D551" s="185"/>
      <c r="E551" s="191"/>
      <c r="F551" s="185"/>
      <c r="G551" s="185"/>
      <c r="H551" s="185"/>
      <c r="I551" s="185"/>
      <c r="J551" s="185"/>
    </row>
    <row r="552" spans="1:10">
      <c r="A552" s="185"/>
      <c r="B552" s="185"/>
      <c r="C552" s="185"/>
      <c r="D552" s="185"/>
      <c r="E552" s="191"/>
      <c r="F552" s="185"/>
      <c r="G552" s="185"/>
      <c r="H552" s="185"/>
      <c r="I552" s="185"/>
      <c r="J552" s="185"/>
    </row>
    <row r="553" spans="1:10">
      <c r="A553" s="185"/>
      <c r="B553" s="185"/>
      <c r="C553" s="185"/>
      <c r="D553" s="185"/>
      <c r="E553" s="191"/>
      <c r="F553" s="185"/>
      <c r="G553" s="185"/>
      <c r="H553" s="185"/>
      <c r="I553" s="185"/>
      <c r="J553" s="185"/>
    </row>
    <row r="554" spans="1:10">
      <c r="A554" s="185"/>
      <c r="B554" s="185"/>
      <c r="C554" s="185"/>
      <c r="D554" s="185"/>
      <c r="E554" s="191"/>
      <c r="F554" s="185"/>
      <c r="G554" s="185"/>
      <c r="H554" s="185"/>
      <c r="I554" s="185"/>
      <c r="J554" s="185"/>
    </row>
    <row r="555" spans="1:10">
      <c r="A555" s="185"/>
      <c r="B555" s="185"/>
      <c r="C555" s="185"/>
      <c r="D555" s="185"/>
      <c r="E555" s="191"/>
      <c r="F555" s="185"/>
      <c r="G555" s="185"/>
      <c r="H555" s="185"/>
      <c r="I555" s="185"/>
      <c r="J555" s="185"/>
    </row>
    <row r="556" spans="1:10">
      <c r="A556" s="185"/>
      <c r="B556" s="185"/>
      <c r="C556" s="185"/>
      <c r="D556" s="185"/>
      <c r="E556" s="191"/>
      <c r="F556" s="185"/>
      <c r="G556" s="185"/>
      <c r="H556" s="185"/>
      <c r="I556" s="185"/>
      <c r="J556" s="185"/>
    </row>
    <row r="557" spans="1:10">
      <c r="A557" s="185"/>
      <c r="B557" s="185"/>
      <c r="C557" s="185"/>
      <c r="D557" s="185"/>
      <c r="E557" s="191"/>
      <c r="F557" s="185"/>
      <c r="G557" s="185"/>
      <c r="H557" s="185"/>
      <c r="I557" s="185"/>
      <c r="J557" s="185"/>
    </row>
    <row r="558" spans="1:10">
      <c r="A558" s="185"/>
      <c r="B558" s="185"/>
      <c r="C558" s="185"/>
      <c r="D558" s="185"/>
      <c r="E558" s="191"/>
      <c r="F558" s="185"/>
      <c r="G558" s="185"/>
      <c r="H558" s="185"/>
      <c r="I558" s="185"/>
      <c r="J558" s="185"/>
    </row>
    <row r="559" spans="1:10">
      <c r="A559" s="185"/>
      <c r="B559" s="185"/>
      <c r="C559" s="185"/>
      <c r="D559" s="185"/>
      <c r="E559" s="191"/>
      <c r="F559" s="185"/>
      <c r="G559" s="185"/>
      <c r="H559" s="185"/>
      <c r="I559" s="185"/>
      <c r="J559" s="185"/>
    </row>
    <row r="560" spans="1:10">
      <c r="A560" s="185"/>
      <c r="B560" s="185"/>
      <c r="C560" s="185"/>
      <c r="D560" s="185"/>
      <c r="E560" s="191"/>
      <c r="F560" s="185"/>
      <c r="G560" s="185"/>
      <c r="H560" s="185"/>
      <c r="I560" s="185"/>
      <c r="J560" s="185"/>
    </row>
    <row r="561" spans="1:10">
      <c r="A561" s="185"/>
      <c r="B561" s="185"/>
      <c r="C561" s="185"/>
      <c r="D561" s="185"/>
      <c r="E561" s="191"/>
      <c r="F561" s="185"/>
      <c r="G561" s="185"/>
      <c r="H561" s="185"/>
      <c r="I561" s="185"/>
      <c r="J561" s="185"/>
    </row>
    <row r="562" spans="1:10">
      <c r="A562" s="185"/>
      <c r="B562" s="185"/>
      <c r="C562" s="185"/>
      <c r="D562" s="185"/>
      <c r="E562" s="191"/>
      <c r="F562" s="185"/>
      <c r="G562" s="185"/>
      <c r="H562" s="185"/>
      <c r="I562" s="185"/>
      <c r="J562" s="185"/>
    </row>
    <row r="563" spans="1:10">
      <c r="A563" s="185"/>
      <c r="B563" s="185"/>
      <c r="C563" s="185"/>
      <c r="D563" s="185"/>
      <c r="E563" s="191"/>
      <c r="F563" s="185"/>
      <c r="G563" s="185"/>
      <c r="H563" s="185"/>
      <c r="I563" s="185"/>
      <c r="J563" s="185"/>
    </row>
    <row r="564" spans="1:10">
      <c r="A564" s="185"/>
      <c r="B564" s="185"/>
      <c r="C564" s="185"/>
      <c r="D564" s="185"/>
      <c r="E564" s="191"/>
      <c r="F564" s="185"/>
      <c r="G564" s="185"/>
      <c r="H564" s="185"/>
      <c r="I564" s="185"/>
      <c r="J564" s="185"/>
    </row>
    <row r="565" spans="1:10">
      <c r="A565" s="185"/>
      <c r="B565" s="185"/>
      <c r="C565" s="185"/>
      <c r="D565" s="185"/>
      <c r="E565" s="191"/>
      <c r="F565" s="185"/>
      <c r="G565" s="185"/>
      <c r="H565" s="185"/>
      <c r="I565" s="185"/>
      <c r="J565" s="185"/>
    </row>
    <row r="566" spans="1:10">
      <c r="A566" s="185"/>
      <c r="B566" s="185"/>
      <c r="C566" s="185"/>
      <c r="D566" s="185"/>
      <c r="E566" s="191"/>
      <c r="F566" s="185"/>
      <c r="G566" s="185"/>
      <c r="H566" s="185"/>
      <c r="I566" s="185"/>
      <c r="J566" s="185"/>
    </row>
    <row r="567" spans="1:10">
      <c r="A567" s="185"/>
      <c r="B567" s="185"/>
      <c r="C567" s="185"/>
      <c r="D567" s="185"/>
      <c r="E567" s="191"/>
      <c r="F567" s="185"/>
      <c r="G567" s="185"/>
      <c r="H567" s="185"/>
      <c r="I567" s="185"/>
      <c r="J567" s="185"/>
    </row>
    <row r="568" spans="1:10">
      <c r="A568" s="185"/>
      <c r="B568" s="185"/>
      <c r="C568" s="185"/>
      <c r="D568" s="185"/>
      <c r="E568" s="191"/>
      <c r="F568" s="185"/>
      <c r="G568" s="185"/>
      <c r="H568" s="185"/>
      <c r="I568" s="185"/>
      <c r="J568" s="185"/>
    </row>
    <row r="569" spans="1:10">
      <c r="A569" s="185"/>
      <c r="B569" s="185"/>
      <c r="C569" s="185"/>
      <c r="D569" s="185"/>
      <c r="E569" s="191"/>
      <c r="F569" s="185"/>
      <c r="G569" s="185"/>
      <c r="H569" s="185"/>
      <c r="I569" s="185"/>
      <c r="J569" s="185"/>
    </row>
    <row r="570" spans="1:10">
      <c r="A570" s="185"/>
      <c r="B570" s="185"/>
      <c r="C570" s="185"/>
      <c r="D570" s="185"/>
      <c r="E570" s="191"/>
      <c r="F570" s="185"/>
      <c r="G570" s="185"/>
      <c r="H570" s="185"/>
      <c r="I570" s="185"/>
      <c r="J570" s="185"/>
    </row>
    <row r="571" spans="1:10">
      <c r="A571" s="185"/>
      <c r="B571" s="185"/>
      <c r="C571" s="185"/>
      <c r="D571" s="185"/>
      <c r="E571" s="191"/>
      <c r="F571" s="185"/>
      <c r="G571" s="185"/>
      <c r="H571" s="185"/>
      <c r="I571" s="185"/>
      <c r="J571" s="185"/>
    </row>
    <row r="572" spans="1:10">
      <c r="A572" s="185"/>
      <c r="B572" s="185"/>
      <c r="C572" s="185"/>
      <c r="D572" s="185"/>
      <c r="E572" s="191"/>
      <c r="F572" s="185"/>
      <c r="G572" s="185"/>
      <c r="H572" s="185"/>
      <c r="I572" s="185"/>
      <c r="J572" s="185"/>
    </row>
    <row r="573" spans="1:10">
      <c r="A573" s="185"/>
      <c r="B573" s="185"/>
      <c r="C573" s="185"/>
      <c r="D573" s="185"/>
      <c r="E573" s="191"/>
      <c r="F573" s="185"/>
      <c r="G573" s="185"/>
      <c r="H573" s="185"/>
      <c r="I573" s="185"/>
      <c r="J573" s="185"/>
    </row>
    <row r="574" spans="1:10">
      <c r="A574" s="185"/>
      <c r="B574" s="185"/>
      <c r="C574" s="185"/>
      <c r="D574" s="185"/>
      <c r="E574" s="191"/>
      <c r="F574" s="185"/>
      <c r="G574" s="185"/>
      <c r="H574" s="185"/>
      <c r="I574" s="185"/>
      <c r="J574" s="185"/>
    </row>
    <row r="575" spans="1:10">
      <c r="A575" s="185"/>
      <c r="B575" s="185"/>
      <c r="C575" s="185"/>
      <c r="D575" s="185"/>
      <c r="E575" s="191"/>
      <c r="F575" s="185"/>
      <c r="G575" s="185"/>
      <c r="H575" s="185"/>
      <c r="I575" s="185"/>
      <c r="J575" s="185"/>
    </row>
    <row r="576" spans="1:10">
      <c r="A576" s="185"/>
      <c r="B576" s="185"/>
      <c r="C576" s="185"/>
      <c r="D576" s="185"/>
      <c r="E576" s="191"/>
      <c r="F576" s="185"/>
      <c r="G576" s="185"/>
      <c r="H576" s="185"/>
      <c r="I576" s="185"/>
      <c r="J576" s="185"/>
    </row>
    <row r="577" spans="1:10">
      <c r="A577" s="185"/>
      <c r="B577" s="185"/>
      <c r="C577" s="185"/>
      <c r="D577" s="185"/>
      <c r="E577" s="191"/>
      <c r="F577" s="185"/>
      <c r="G577" s="185"/>
      <c r="H577" s="185"/>
      <c r="I577" s="185"/>
      <c r="J577" s="185"/>
    </row>
    <row r="578" spans="1:10">
      <c r="A578" s="185"/>
      <c r="B578" s="185"/>
      <c r="C578" s="185"/>
      <c r="D578" s="185"/>
      <c r="E578" s="191"/>
      <c r="F578" s="185"/>
      <c r="G578" s="185"/>
      <c r="H578" s="185"/>
      <c r="I578" s="185"/>
      <c r="J578" s="185"/>
    </row>
    <row r="579" spans="1:10">
      <c r="A579" s="185"/>
      <c r="B579" s="185"/>
      <c r="C579" s="185"/>
      <c r="D579" s="185"/>
      <c r="E579" s="191"/>
      <c r="F579" s="185"/>
      <c r="G579" s="185"/>
      <c r="H579" s="185"/>
      <c r="I579" s="185"/>
      <c r="J579" s="185"/>
    </row>
    <row r="580" spans="1:10">
      <c r="A580" s="185"/>
      <c r="B580" s="185"/>
      <c r="C580" s="185"/>
      <c r="D580" s="185"/>
      <c r="E580" s="191"/>
      <c r="F580" s="185"/>
      <c r="G580" s="185"/>
      <c r="H580" s="185"/>
      <c r="I580" s="185"/>
      <c r="J580" s="185"/>
    </row>
    <row r="581" spans="1:10">
      <c r="A581" s="185"/>
      <c r="B581" s="185"/>
      <c r="C581" s="185"/>
      <c r="D581" s="185"/>
      <c r="E581" s="191"/>
      <c r="F581" s="185"/>
      <c r="G581" s="185"/>
      <c r="H581" s="185"/>
      <c r="I581" s="185"/>
      <c r="J581" s="185"/>
    </row>
    <row r="582" spans="1:10">
      <c r="A582" s="185"/>
      <c r="B582" s="185"/>
      <c r="C582" s="185"/>
      <c r="D582" s="185"/>
      <c r="E582" s="191"/>
      <c r="F582" s="185"/>
      <c r="G582" s="185"/>
      <c r="H582" s="185"/>
      <c r="I582" s="185"/>
      <c r="J582" s="185"/>
    </row>
    <row r="583" spans="1:10">
      <c r="A583" s="185"/>
      <c r="B583" s="185"/>
      <c r="C583" s="185"/>
      <c r="D583" s="185"/>
      <c r="E583" s="191"/>
      <c r="F583" s="185"/>
      <c r="G583" s="185"/>
      <c r="H583" s="185"/>
      <c r="I583" s="185"/>
      <c r="J583" s="185"/>
    </row>
    <row r="584" spans="1:10">
      <c r="A584" s="185"/>
      <c r="B584" s="185"/>
      <c r="C584" s="185"/>
      <c r="D584" s="185"/>
      <c r="E584" s="191"/>
      <c r="F584" s="185"/>
      <c r="G584" s="185"/>
      <c r="H584" s="185"/>
      <c r="I584" s="185"/>
      <c r="J584" s="185"/>
    </row>
    <row r="585" spans="1:10">
      <c r="A585" s="185"/>
      <c r="B585" s="185"/>
      <c r="C585" s="185"/>
      <c r="D585" s="185"/>
      <c r="E585" s="191"/>
      <c r="F585" s="185"/>
      <c r="G585" s="185"/>
      <c r="H585" s="185"/>
      <c r="I585" s="185"/>
      <c r="J585" s="185"/>
    </row>
    <row r="586" spans="1:10">
      <c r="A586" s="185"/>
      <c r="B586" s="185"/>
      <c r="C586" s="185"/>
      <c r="D586" s="185"/>
      <c r="E586" s="191"/>
      <c r="F586" s="185"/>
      <c r="G586" s="185"/>
      <c r="H586" s="185"/>
      <c r="I586" s="185"/>
      <c r="J586" s="185"/>
    </row>
    <row r="587" spans="1:10">
      <c r="A587" s="185"/>
      <c r="B587" s="185"/>
      <c r="C587" s="185"/>
      <c r="D587" s="185"/>
      <c r="E587" s="191"/>
      <c r="F587" s="185"/>
      <c r="G587" s="185"/>
      <c r="H587" s="185"/>
      <c r="I587" s="185"/>
      <c r="J587" s="185"/>
    </row>
    <row r="588" spans="1:10">
      <c r="A588" s="185"/>
      <c r="B588" s="185"/>
      <c r="C588" s="185"/>
      <c r="D588" s="185"/>
      <c r="E588" s="191"/>
      <c r="F588" s="185"/>
      <c r="G588" s="185"/>
      <c r="H588" s="185"/>
      <c r="I588" s="185"/>
      <c r="J588" s="185"/>
    </row>
    <row r="589" spans="1:10">
      <c r="A589" s="185"/>
      <c r="B589" s="185"/>
      <c r="C589" s="185"/>
      <c r="D589" s="185"/>
      <c r="E589" s="191"/>
      <c r="F589" s="185"/>
      <c r="G589" s="185"/>
      <c r="H589" s="185"/>
      <c r="I589" s="185"/>
      <c r="J589" s="185"/>
    </row>
    <row r="590" spans="1:10">
      <c r="A590" s="185"/>
      <c r="B590" s="185"/>
      <c r="C590" s="185"/>
      <c r="D590" s="185"/>
      <c r="E590" s="191"/>
      <c r="F590" s="185"/>
      <c r="G590" s="185"/>
      <c r="H590" s="185"/>
      <c r="I590" s="185"/>
      <c r="J590" s="185"/>
    </row>
    <row r="591" spans="1:10">
      <c r="A591" s="185"/>
      <c r="B591" s="185"/>
      <c r="C591" s="185"/>
      <c r="D591" s="185"/>
      <c r="E591" s="191"/>
      <c r="F591" s="185"/>
      <c r="G591" s="185"/>
      <c r="H591" s="185"/>
      <c r="I591" s="185"/>
      <c r="J591" s="185"/>
    </row>
    <row r="592" spans="1:10">
      <c r="A592" s="185"/>
      <c r="B592" s="185"/>
      <c r="C592" s="185"/>
      <c r="D592" s="185"/>
      <c r="E592" s="191"/>
      <c r="F592" s="185"/>
      <c r="G592" s="185"/>
      <c r="H592" s="185"/>
      <c r="I592" s="185"/>
      <c r="J592" s="185"/>
    </row>
    <row r="593" spans="1:10">
      <c r="A593" s="185"/>
      <c r="B593" s="185"/>
      <c r="C593" s="185"/>
      <c r="D593" s="185"/>
      <c r="E593" s="191"/>
      <c r="F593" s="185"/>
      <c r="G593" s="185"/>
      <c r="H593" s="185"/>
      <c r="I593" s="185"/>
      <c r="J593" s="185"/>
    </row>
    <row r="594" spans="1:10">
      <c r="A594" s="185"/>
      <c r="B594" s="185"/>
      <c r="C594" s="185"/>
      <c r="D594" s="185"/>
      <c r="E594" s="191"/>
      <c r="F594" s="185"/>
      <c r="G594" s="185"/>
      <c r="H594" s="185"/>
      <c r="I594" s="185"/>
      <c r="J594" s="185"/>
    </row>
    <row r="595" spans="1:10">
      <c r="A595" s="185"/>
      <c r="B595" s="185"/>
      <c r="C595" s="185"/>
      <c r="D595" s="185"/>
      <c r="E595" s="191"/>
      <c r="F595" s="185"/>
      <c r="G595" s="185"/>
      <c r="H595" s="185"/>
      <c r="I595" s="185"/>
      <c r="J595" s="185"/>
    </row>
    <row r="596" spans="1:10">
      <c r="A596" s="185"/>
      <c r="B596" s="185"/>
      <c r="C596" s="185"/>
      <c r="D596" s="185"/>
      <c r="E596" s="191"/>
      <c r="F596" s="185"/>
      <c r="G596" s="185"/>
      <c r="H596" s="185"/>
      <c r="I596" s="185"/>
      <c r="J596" s="185"/>
    </row>
    <row r="597" spans="1:10">
      <c r="A597" s="185"/>
      <c r="B597" s="185"/>
      <c r="C597" s="185"/>
      <c r="D597" s="185"/>
      <c r="E597" s="191"/>
      <c r="F597" s="185"/>
      <c r="G597" s="185"/>
      <c r="H597" s="185"/>
      <c r="I597" s="185"/>
      <c r="J597" s="185"/>
    </row>
    <row r="598" spans="1:10">
      <c r="A598" s="185"/>
      <c r="B598" s="185"/>
      <c r="C598" s="185"/>
      <c r="D598" s="185"/>
      <c r="E598" s="191"/>
      <c r="F598" s="185"/>
      <c r="G598" s="185"/>
      <c r="H598" s="185"/>
      <c r="I598" s="185"/>
      <c r="J598" s="185"/>
    </row>
    <row r="599" spans="1:10">
      <c r="A599" s="185"/>
      <c r="B599" s="185"/>
      <c r="C599" s="185"/>
      <c r="D599" s="185"/>
      <c r="E599" s="191"/>
      <c r="F599" s="185"/>
      <c r="G599" s="185"/>
      <c r="H599" s="185"/>
      <c r="I599" s="185"/>
      <c r="J599" s="185"/>
    </row>
    <row r="600" spans="1:10">
      <c r="A600" s="185"/>
      <c r="B600" s="185"/>
      <c r="C600" s="185"/>
      <c r="D600" s="185"/>
      <c r="E600" s="191"/>
      <c r="F600" s="185"/>
      <c r="G600" s="185"/>
      <c r="H600" s="185"/>
      <c r="I600" s="185"/>
      <c r="J600" s="185"/>
    </row>
    <row r="601" spans="1:10">
      <c r="A601" s="185"/>
      <c r="B601" s="185"/>
      <c r="C601" s="185"/>
      <c r="D601" s="185"/>
      <c r="E601" s="191"/>
      <c r="F601" s="185"/>
      <c r="G601" s="185"/>
      <c r="H601" s="185"/>
      <c r="I601" s="185"/>
      <c r="J601" s="185"/>
    </row>
    <row r="602" spans="1:10">
      <c r="A602" s="185"/>
      <c r="B602" s="185"/>
      <c r="C602" s="185"/>
      <c r="D602" s="185"/>
      <c r="E602" s="191"/>
      <c r="F602" s="185"/>
      <c r="G602" s="185"/>
      <c r="H602" s="185"/>
      <c r="I602" s="185"/>
      <c r="J602" s="185"/>
    </row>
    <row r="603" spans="1:10">
      <c r="A603" s="185"/>
      <c r="B603" s="185"/>
      <c r="C603" s="185"/>
      <c r="D603" s="185"/>
      <c r="E603" s="191"/>
      <c r="F603" s="185"/>
      <c r="G603" s="185"/>
      <c r="H603" s="185"/>
      <c r="I603" s="185"/>
      <c r="J603" s="185"/>
    </row>
    <row r="604" spans="1:10">
      <c r="A604" s="185"/>
      <c r="B604" s="185"/>
      <c r="C604" s="185"/>
      <c r="D604" s="185"/>
      <c r="E604" s="191"/>
      <c r="F604" s="185"/>
      <c r="G604" s="185"/>
      <c r="H604" s="185"/>
      <c r="I604" s="185"/>
      <c r="J604" s="185"/>
    </row>
    <row r="605" spans="1:10">
      <c r="A605" s="185"/>
      <c r="B605" s="185"/>
      <c r="C605" s="185"/>
      <c r="D605" s="185"/>
      <c r="E605" s="191"/>
      <c r="F605" s="185"/>
      <c r="G605" s="185"/>
      <c r="H605" s="185"/>
      <c r="I605" s="185"/>
      <c r="J605" s="185"/>
    </row>
    <row r="606" spans="1:10">
      <c r="A606" s="185"/>
      <c r="B606" s="185"/>
      <c r="C606" s="185"/>
      <c r="D606" s="185"/>
      <c r="E606" s="191"/>
      <c r="F606" s="185"/>
      <c r="G606" s="185"/>
      <c r="H606" s="185"/>
      <c r="I606" s="185"/>
      <c r="J606" s="185"/>
    </row>
    <row r="607" spans="1:10">
      <c r="A607" s="185"/>
      <c r="B607" s="185"/>
      <c r="C607" s="185"/>
      <c r="D607" s="185"/>
      <c r="E607" s="191"/>
      <c r="F607" s="185"/>
      <c r="G607" s="185"/>
      <c r="H607" s="185"/>
      <c r="I607" s="185"/>
      <c r="J607" s="185"/>
    </row>
    <row r="608" spans="1:10">
      <c r="A608" s="185"/>
      <c r="B608" s="185"/>
      <c r="C608" s="185"/>
      <c r="D608" s="185"/>
      <c r="E608" s="191"/>
      <c r="F608" s="185"/>
      <c r="G608" s="185"/>
      <c r="H608" s="185"/>
      <c r="I608" s="185"/>
      <c r="J608" s="185"/>
    </row>
    <row r="609" spans="1:10">
      <c r="A609" s="185"/>
      <c r="B609" s="185"/>
      <c r="C609" s="185"/>
      <c r="D609" s="185"/>
      <c r="E609" s="191"/>
      <c r="F609" s="185"/>
      <c r="G609" s="185"/>
      <c r="H609" s="185"/>
      <c r="I609" s="185"/>
      <c r="J609" s="185"/>
    </row>
    <row r="610" spans="1:10">
      <c r="A610" s="185"/>
      <c r="B610" s="185"/>
      <c r="C610" s="185"/>
      <c r="D610" s="185"/>
      <c r="E610" s="191"/>
      <c r="F610" s="185"/>
      <c r="G610" s="185"/>
      <c r="H610" s="185"/>
      <c r="I610" s="185"/>
      <c r="J610" s="185"/>
    </row>
    <row r="611" spans="1:10">
      <c r="A611" s="185"/>
      <c r="B611" s="185"/>
      <c r="C611" s="185"/>
      <c r="D611" s="185"/>
      <c r="E611" s="191"/>
      <c r="F611" s="185"/>
      <c r="G611" s="185"/>
      <c r="H611" s="185"/>
      <c r="I611" s="185"/>
      <c r="J611" s="185"/>
    </row>
    <row r="612" spans="1:10">
      <c r="A612" s="185"/>
      <c r="B612" s="185"/>
      <c r="C612" s="185"/>
      <c r="D612" s="185"/>
      <c r="E612" s="191"/>
      <c r="F612" s="185"/>
      <c r="G612" s="185"/>
      <c r="H612" s="185"/>
      <c r="I612" s="185"/>
      <c r="J612" s="185"/>
    </row>
    <row r="613" spans="1:10">
      <c r="A613" s="185"/>
      <c r="B613" s="185"/>
      <c r="C613" s="185"/>
      <c r="D613" s="185"/>
      <c r="E613" s="191"/>
      <c r="F613" s="185"/>
      <c r="G613" s="185"/>
      <c r="H613" s="185"/>
      <c r="I613" s="185"/>
      <c r="J613" s="185"/>
    </row>
    <row r="614" spans="1:10">
      <c r="A614" s="185"/>
      <c r="B614" s="185"/>
      <c r="C614" s="185"/>
      <c r="D614" s="185"/>
      <c r="E614" s="191"/>
      <c r="F614" s="185"/>
      <c r="G614" s="185"/>
      <c r="H614" s="185"/>
      <c r="I614" s="185"/>
      <c r="J614" s="185"/>
    </row>
    <row r="615" spans="1:10">
      <c r="A615" s="185"/>
      <c r="B615" s="185"/>
      <c r="C615" s="185"/>
      <c r="D615" s="185"/>
      <c r="E615" s="191"/>
      <c r="F615" s="185"/>
      <c r="G615" s="185"/>
      <c r="H615" s="185"/>
      <c r="I615" s="185"/>
      <c r="J615" s="185"/>
    </row>
    <row r="616" spans="1:10">
      <c r="A616" s="185"/>
      <c r="B616" s="185"/>
      <c r="C616" s="185"/>
      <c r="D616" s="185"/>
      <c r="E616" s="191"/>
      <c r="F616" s="185"/>
      <c r="G616" s="185"/>
      <c r="H616" s="185"/>
      <c r="I616" s="185"/>
      <c r="J616" s="185"/>
    </row>
    <row r="617" spans="1:10">
      <c r="A617" s="185"/>
      <c r="B617" s="185"/>
      <c r="C617" s="185"/>
      <c r="D617" s="185"/>
      <c r="E617" s="191"/>
      <c r="F617" s="185"/>
      <c r="G617" s="185"/>
      <c r="H617" s="185"/>
      <c r="I617" s="185"/>
      <c r="J617" s="185"/>
    </row>
    <row r="618" spans="1:10">
      <c r="A618" s="185"/>
      <c r="B618" s="185"/>
      <c r="C618" s="185"/>
      <c r="D618" s="185"/>
      <c r="E618" s="191"/>
      <c r="F618" s="185"/>
      <c r="G618" s="185"/>
      <c r="H618" s="185"/>
      <c r="I618" s="185"/>
      <c r="J618" s="185"/>
    </row>
    <row r="619" spans="1:10">
      <c r="A619" s="185"/>
      <c r="B619" s="185"/>
      <c r="C619" s="185"/>
      <c r="D619" s="185"/>
      <c r="E619" s="191"/>
      <c r="F619" s="185"/>
      <c r="G619" s="185"/>
      <c r="H619" s="185"/>
      <c r="I619" s="185"/>
      <c r="J619" s="185"/>
    </row>
    <row r="620" spans="1:10">
      <c r="A620" s="185"/>
      <c r="B620" s="185"/>
      <c r="C620" s="185"/>
      <c r="D620" s="185"/>
      <c r="E620" s="191"/>
      <c r="F620" s="185"/>
      <c r="G620" s="185"/>
      <c r="H620" s="185"/>
      <c r="I620" s="185"/>
      <c r="J620" s="185"/>
    </row>
    <row r="621" spans="1:10">
      <c r="A621" s="185"/>
      <c r="B621" s="185"/>
      <c r="C621" s="185"/>
      <c r="D621" s="185"/>
      <c r="E621" s="191"/>
      <c r="F621" s="185"/>
      <c r="G621" s="185"/>
      <c r="H621" s="185"/>
      <c r="I621" s="185"/>
      <c r="J621" s="185"/>
    </row>
    <row r="622" spans="1:10">
      <c r="A622" s="185"/>
      <c r="B622" s="185"/>
      <c r="C622" s="185"/>
      <c r="D622" s="185"/>
      <c r="E622" s="191"/>
      <c r="F622" s="185"/>
      <c r="G622" s="185"/>
      <c r="H622" s="185"/>
      <c r="I622" s="185"/>
      <c r="J622" s="185"/>
    </row>
    <row r="623" spans="1:10">
      <c r="A623" s="185"/>
      <c r="B623" s="185"/>
      <c r="C623" s="185"/>
      <c r="D623" s="185"/>
      <c r="E623" s="191"/>
      <c r="F623" s="185"/>
      <c r="G623" s="185"/>
      <c r="H623" s="185"/>
      <c r="I623" s="185"/>
      <c r="J623" s="185"/>
    </row>
    <row r="624" spans="1:10">
      <c r="A624" s="185"/>
      <c r="B624" s="185"/>
      <c r="C624" s="185"/>
      <c r="D624" s="185"/>
      <c r="E624" s="191"/>
      <c r="F624" s="185"/>
      <c r="G624" s="185"/>
      <c r="H624" s="185"/>
      <c r="I624" s="185"/>
      <c r="J624" s="185"/>
    </row>
    <row r="625" spans="1:10">
      <c r="A625" s="185"/>
      <c r="B625" s="185"/>
      <c r="C625" s="185"/>
      <c r="D625" s="185"/>
      <c r="E625" s="191"/>
      <c r="F625" s="185"/>
      <c r="G625" s="185"/>
      <c r="H625" s="185"/>
      <c r="I625" s="185"/>
      <c r="J625" s="185"/>
    </row>
    <row r="626" spans="1:10">
      <c r="A626" s="185"/>
      <c r="B626" s="185"/>
      <c r="C626" s="185"/>
      <c r="D626" s="185"/>
      <c r="E626" s="191"/>
      <c r="F626" s="185"/>
      <c r="G626" s="185"/>
      <c r="H626" s="185"/>
      <c r="I626" s="185"/>
      <c r="J626" s="185"/>
    </row>
    <row r="627" spans="1:10">
      <c r="A627" s="185"/>
      <c r="B627" s="185"/>
      <c r="C627" s="185"/>
      <c r="D627" s="185"/>
      <c r="E627" s="191"/>
      <c r="F627" s="185"/>
      <c r="G627" s="185"/>
      <c r="H627" s="185"/>
      <c r="I627" s="185"/>
      <c r="J627" s="185"/>
    </row>
    <row r="628" spans="1:10">
      <c r="A628" s="185"/>
      <c r="B628" s="185"/>
      <c r="C628" s="185"/>
      <c r="D628" s="185"/>
      <c r="E628" s="191"/>
      <c r="F628" s="185"/>
      <c r="G628" s="185"/>
      <c r="H628" s="185"/>
      <c r="I628" s="185"/>
      <c r="J628" s="185"/>
    </row>
    <row r="629" spans="1:10">
      <c r="A629" s="185"/>
      <c r="B629" s="185"/>
      <c r="C629" s="185"/>
      <c r="D629" s="185"/>
      <c r="E629" s="191"/>
      <c r="F629" s="185"/>
      <c r="G629" s="185"/>
      <c r="H629" s="185"/>
      <c r="I629" s="185"/>
      <c r="J629" s="185"/>
    </row>
    <row r="630" spans="1:10">
      <c r="A630" s="185"/>
      <c r="B630" s="185"/>
      <c r="C630" s="185"/>
      <c r="D630" s="185"/>
      <c r="E630" s="191"/>
      <c r="F630" s="185"/>
      <c r="G630" s="185"/>
      <c r="H630" s="185"/>
      <c r="I630" s="185"/>
      <c r="J630" s="185"/>
    </row>
    <row r="631" spans="1:10">
      <c r="A631" s="185"/>
      <c r="B631" s="185"/>
      <c r="C631" s="185"/>
      <c r="D631" s="185"/>
      <c r="E631" s="191"/>
      <c r="F631" s="185"/>
      <c r="G631" s="185"/>
      <c r="H631" s="185"/>
      <c r="I631" s="185"/>
      <c r="J631" s="185"/>
    </row>
    <row r="632" spans="1:10">
      <c r="A632" s="185"/>
      <c r="B632" s="185"/>
      <c r="C632" s="185"/>
      <c r="D632" s="185"/>
      <c r="E632" s="191"/>
      <c r="F632" s="185"/>
      <c r="G632" s="185"/>
      <c r="H632" s="185"/>
      <c r="I632" s="185"/>
      <c r="J632" s="185"/>
    </row>
    <row r="633" spans="1:10">
      <c r="A633" s="185"/>
      <c r="B633" s="185"/>
      <c r="C633" s="185"/>
      <c r="D633" s="185"/>
      <c r="E633" s="191"/>
      <c r="F633" s="185"/>
      <c r="G633" s="185"/>
      <c r="H633" s="185"/>
      <c r="I633" s="185"/>
      <c r="J633" s="185"/>
    </row>
    <row r="634" spans="1:10">
      <c r="A634" s="185"/>
      <c r="B634" s="185"/>
      <c r="C634" s="185"/>
      <c r="D634" s="185"/>
      <c r="E634" s="191"/>
      <c r="F634" s="185"/>
      <c r="G634" s="185"/>
      <c r="H634" s="185"/>
      <c r="I634" s="185"/>
      <c r="J634" s="185"/>
    </row>
    <row r="635" spans="1:10">
      <c r="A635" s="185"/>
      <c r="B635" s="185"/>
      <c r="C635" s="185"/>
      <c r="D635" s="185"/>
      <c r="E635" s="191"/>
      <c r="F635" s="185"/>
      <c r="G635" s="185"/>
      <c r="H635" s="185"/>
      <c r="I635" s="185"/>
      <c r="J635" s="185"/>
    </row>
    <row r="636" spans="1:10">
      <c r="A636" s="185"/>
      <c r="B636" s="185"/>
      <c r="C636" s="185"/>
      <c r="D636" s="185"/>
      <c r="E636" s="191"/>
      <c r="F636" s="185"/>
      <c r="G636" s="185"/>
      <c r="H636" s="185"/>
      <c r="I636" s="185"/>
      <c r="J636" s="185"/>
    </row>
    <row r="637" spans="1:10">
      <c r="A637" s="185"/>
      <c r="B637" s="185"/>
      <c r="C637" s="185"/>
      <c r="D637" s="185"/>
      <c r="E637" s="191"/>
      <c r="F637" s="185"/>
      <c r="G637" s="185"/>
      <c r="H637" s="185"/>
      <c r="I637" s="185"/>
      <c r="J637" s="185"/>
    </row>
    <row r="638" spans="1:10">
      <c r="A638" s="185"/>
      <c r="B638" s="185"/>
      <c r="C638" s="185"/>
      <c r="D638" s="185"/>
      <c r="E638" s="191"/>
      <c r="F638" s="185"/>
      <c r="G638" s="185"/>
      <c r="H638" s="185"/>
      <c r="I638" s="185"/>
      <c r="J638" s="185"/>
    </row>
    <row r="639" spans="1:10">
      <c r="A639" s="185"/>
      <c r="B639" s="185"/>
      <c r="C639" s="185"/>
      <c r="D639" s="185"/>
      <c r="E639" s="191"/>
      <c r="F639" s="185"/>
      <c r="G639" s="185"/>
      <c r="H639" s="185"/>
      <c r="I639" s="185"/>
      <c r="J639" s="185"/>
    </row>
    <row r="640" spans="1:10">
      <c r="A640" s="185"/>
      <c r="B640" s="185"/>
      <c r="C640" s="185"/>
      <c r="D640" s="185"/>
      <c r="E640" s="191"/>
      <c r="F640" s="185"/>
      <c r="G640" s="185"/>
      <c r="H640" s="185"/>
      <c r="I640" s="185"/>
      <c r="J640" s="185"/>
    </row>
    <row r="641" spans="1:10">
      <c r="A641" s="185"/>
      <c r="B641" s="185"/>
      <c r="C641" s="185"/>
      <c r="D641" s="185"/>
      <c r="E641" s="191"/>
      <c r="F641" s="185"/>
      <c r="G641" s="185"/>
      <c r="H641" s="185"/>
      <c r="I641" s="185"/>
      <c r="J641" s="185"/>
    </row>
    <row r="642" spans="1:10">
      <c r="A642" s="185"/>
      <c r="B642" s="185"/>
      <c r="C642" s="185"/>
      <c r="D642" s="185"/>
      <c r="E642" s="191"/>
      <c r="F642" s="185"/>
      <c r="G642" s="185"/>
      <c r="H642" s="185"/>
      <c r="I642" s="185"/>
      <c r="J642" s="185"/>
    </row>
    <row r="643" spans="1:10">
      <c r="A643" s="185"/>
      <c r="B643" s="185"/>
      <c r="C643" s="185"/>
      <c r="D643" s="185"/>
      <c r="E643" s="191"/>
      <c r="F643" s="185"/>
      <c r="G643" s="185"/>
      <c r="H643" s="185"/>
      <c r="I643" s="185"/>
      <c r="J643" s="185"/>
    </row>
    <row r="644" spans="1:10">
      <c r="A644" s="185"/>
      <c r="B644" s="185"/>
      <c r="C644" s="185"/>
      <c r="D644" s="185"/>
      <c r="E644" s="191"/>
      <c r="F644" s="185"/>
      <c r="G644" s="185"/>
      <c r="H644" s="185"/>
      <c r="I644" s="185"/>
      <c r="J644" s="185"/>
    </row>
    <row r="645" spans="1:10">
      <c r="A645" s="185"/>
      <c r="B645" s="185"/>
      <c r="C645" s="185"/>
      <c r="D645" s="185"/>
      <c r="E645" s="191"/>
      <c r="F645" s="185"/>
      <c r="G645" s="185"/>
      <c r="H645" s="185"/>
      <c r="I645" s="185"/>
      <c r="J645" s="185"/>
    </row>
    <row r="646" spans="1:10">
      <c r="A646" s="185"/>
      <c r="B646" s="185"/>
      <c r="C646" s="185"/>
      <c r="D646" s="185"/>
      <c r="E646" s="191"/>
      <c r="F646" s="185"/>
      <c r="G646" s="185"/>
      <c r="H646" s="185"/>
      <c r="I646" s="185"/>
      <c r="J646" s="185"/>
    </row>
    <row r="647" spans="1:10">
      <c r="A647" s="185"/>
      <c r="B647" s="185"/>
      <c r="C647" s="185"/>
      <c r="D647" s="185"/>
      <c r="E647" s="191"/>
      <c r="F647" s="185"/>
      <c r="G647" s="185"/>
      <c r="H647" s="185"/>
      <c r="I647" s="185"/>
      <c r="J647" s="185"/>
    </row>
    <row r="648" spans="1:10">
      <c r="A648" s="185"/>
      <c r="B648" s="185"/>
      <c r="C648" s="185"/>
      <c r="D648" s="185"/>
      <c r="E648" s="191"/>
      <c r="F648" s="185"/>
      <c r="G648" s="185"/>
      <c r="H648" s="185"/>
      <c r="I648" s="185"/>
      <c r="J648" s="185"/>
    </row>
    <row r="649" spans="1:10">
      <c r="A649" s="185"/>
      <c r="B649" s="185"/>
      <c r="C649" s="185"/>
      <c r="D649" s="185"/>
      <c r="E649" s="191"/>
      <c r="F649" s="185"/>
      <c r="G649" s="185"/>
      <c r="H649" s="185"/>
      <c r="I649" s="185"/>
      <c r="J649" s="185"/>
    </row>
    <row r="650" spans="1:10">
      <c r="A650" s="185"/>
      <c r="B650" s="185"/>
      <c r="C650" s="185"/>
      <c r="D650" s="185"/>
      <c r="E650" s="191"/>
      <c r="F650" s="185"/>
      <c r="G650" s="185"/>
      <c r="H650" s="185"/>
      <c r="I650" s="185"/>
      <c r="J650" s="185"/>
    </row>
    <row r="651" spans="1:10">
      <c r="A651" s="185"/>
      <c r="B651" s="185"/>
      <c r="C651" s="185"/>
      <c r="D651" s="185"/>
      <c r="E651" s="191"/>
      <c r="F651" s="185"/>
      <c r="G651" s="185"/>
      <c r="H651" s="185"/>
      <c r="I651" s="185"/>
      <c r="J651" s="185"/>
    </row>
    <row r="652" spans="1:10">
      <c r="A652" s="185"/>
      <c r="B652" s="185"/>
      <c r="C652" s="185"/>
      <c r="D652" s="185"/>
      <c r="E652" s="191"/>
      <c r="F652" s="185"/>
      <c r="G652" s="185"/>
      <c r="H652" s="185"/>
      <c r="I652" s="185"/>
      <c r="J652" s="185"/>
    </row>
    <row r="653" spans="1:10">
      <c r="A653" s="185"/>
      <c r="B653" s="185"/>
      <c r="C653" s="185"/>
      <c r="D653" s="185"/>
      <c r="E653" s="191"/>
      <c r="F653" s="185"/>
      <c r="G653" s="185"/>
      <c r="H653" s="185"/>
      <c r="I653" s="185"/>
      <c r="J653" s="185"/>
    </row>
    <row r="654" spans="1:10">
      <c r="A654" s="185"/>
      <c r="B654" s="185"/>
      <c r="C654" s="185"/>
      <c r="D654" s="185"/>
      <c r="E654" s="191"/>
      <c r="F654" s="185"/>
      <c r="G654" s="185"/>
      <c r="H654" s="185"/>
      <c r="I654" s="185"/>
      <c r="J654" s="185"/>
    </row>
    <row r="655" spans="1:10">
      <c r="A655" s="185"/>
      <c r="B655" s="185"/>
      <c r="C655" s="185"/>
      <c r="D655" s="185"/>
      <c r="E655" s="191"/>
      <c r="F655" s="185"/>
      <c r="G655" s="185"/>
      <c r="H655" s="185"/>
      <c r="I655" s="185"/>
      <c r="J655" s="185"/>
    </row>
    <row r="656" spans="1:10">
      <c r="A656" s="185"/>
      <c r="B656" s="185"/>
      <c r="C656" s="185"/>
      <c r="D656" s="185"/>
      <c r="E656" s="191"/>
      <c r="F656" s="185"/>
      <c r="G656" s="185"/>
      <c r="H656" s="185"/>
      <c r="I656" s="185"/>
      <c r="J656" s="185"/>
    </row>
    <row r="657" spans="1:10">
      <c r="A657" s="185"/>
      <c r="B657" s="185"/>
      <c r="C657" s="185"/>
      <c r="D657" s="185"/>
      <c r="E657" s="191"/>
      <c r="F657" s="185"/>
      <c r="G657" s="185"/>
      <c r="H657" s="185"/>
      <c r="I657" s="185"/>
      <c r="J657" s="185"/>
    </row>
    <row r="658" spans="1:10">
      <c r="A658" s="185"/>
      <c r="B658" s="185"/>
      <c r="C658" s="185"/>
      <c r="D658" s="185"/>
      <c r="E658" s="191"/>
      <c r="F658" s="185"/>
      <c r="G658" s="185"/>
      <c r="H658" s="185"/>
      <c r="I658" s="185"/>
      <c r="J658" s="185"/>
    </row>
    <row r="659" spans="1:10">
      <c r="A659" s="185"/>
      <c r="B659" s="185"/>
      <c r="C659" s="185"/>
      <c r="D659" s="185"/>
      <c r="E659" s="191"/>
      <c r="F659" s="185"/>
      <c r="G659" s="185"/>
      <c r="H659" s="185"/>
      <c r="I659" s="185"/>
      <c r="J659" s="185"/>
    </row>
    <row r="660" spans="1:10">
      <c r="A660" s="185"/>
      <c r="B660" s="185"/>
      <c r="C660" s="185"/>
      <c r="D660" s="185"/>
      <c r="E660" s="191"/>
      <c r="F660" s="185"/>
      <c r="G660" s="185"/>
      <c r="H660" s="185"/>
      <c r="I660" s="185"/>
      <c r="J660" s="185"/>
    </row>
    <row r="661" spans="1:10">
      <c r="A661" s="185"/>
      <c r="B661" s="185"/>
      <c r="C661" s="185"/>
      <c r="D661" s="185"/>
      <c r="E661" s="191"/>
      <c r="F661" s="185"/>
      <c r="G661" s="185"/>
      <c r="H661" s="185"/>
      <c r="I661" s="185"/>
      <c r="J661" s="185"/>
    </row>
    <row r="662" spans="1:10">
      <c r="A662" s="185"/>
      <c r="B662" s="185"/>
      <c r="C662" s="185"/>
      <c r="D662" s="185"/>
      <c r="E662" s="191"/>
      <c r="F662" s="185"/>
      <c r="G662" s="185"/>
      <c r="H662" s="185"/>
      <c r="I662" s="185"/>
      <c r="J662" s="185"/>
    </row>
    <row r="663" spans="1:10">
      <c r="A663" s="185"/>
      <c r="B663" s="185"/>
      <c r="C663" s="185"/>
      <c r="D663" s="185"/>
      <c r="E663" s="191"/>
      <c r="F663" s="185"/>
      <c r="G663" s="185"/>
      <c r="H663" s="185"/>
      <c r="I663" s="185"/>
      <c r="J663" s="185"/>
    </row>
    <row r="664" spans="1:10">
      <c r="A664" s="185"/>
      <c r="B664" s="185"/>
      <c r="C664" s="185"/>
      <c r="D664" s="185"/>
      <c r="E664" s="191"/>
      <c r="F664" s="185"/>
      <c r="G664" s="185"/>
      <c r="H664" s="185"/>
      <c r="I664" s="185"/>
      <c r="J664" s="185"/>
    </row>
    <row r="665" spans="1:10">
      <c r="A665" s="185"/>
      <c r="B665" s="185"/>
      <c r="C665" s="185"/>
      <c r="D665" s="185"/>
      <c r="E665" s="191"/>
      <c r="F665" s="185"/>
      <c r="G665" s="185"/>
      <c r="H665" s="185"/>
      <c r="I665" s="185"/>
      <c r="J665" s="185"/>
    </row>
    <row r="666" spans="1:10">
      <c r="A666" s="185"/>
      <c r="B666" s="185"/>
      <c r="C666" s="185"/>
      <c r="D666" s="185"/>
      <c r="E666" s="191"/>
      <c r="F666" s="185"/>
      <c r="G666" s="185"/>
      <c r="H666" s="185"/>
      <c r="I666" s="185"/>
      <c r="J666" s="185"/>
    </row>
    <row r="667" spans="1:10">
      <c r="A667" s="185"/>
      <c r="B667" s="185"/>
      <c r="C667" s="185"/>
      <c r="D667" s="185"/>
      <c r="E667" s="191"/>
      <c r="F667" s="185"/>
      <c r="G667" s="185"/>
      <c r="H667" s="185"/>
      <c r="I667" s="185"/>
      <c r="J667" s="185"/>
    </row>
    <row r="668" spans="1:10">
      <c r="A668" s="185"/>
      <c r="B668" s="185"/>
      <c r="C668" s="185"/>
      <c r="D668" s="185"/>
      <c r="E668" s="191"/>
      <c r="F668" s="185"/>
      <c r="G668" s="185"/>
      <c r="H668" s="185"/>
      <c r="I668" s="185"/>
      <c r="J668" s="185"/>
    </row>
    <row r="669" spans="1:10">
      <c r="A669" s="185"/>
      <c r="B669" s="185"/>
      <c r="C669" s="185"/>
      <c r="D669" s="185"/>
      <c r="E669" s="191"/>
      <c r="F669" s="185"/>
      <c r="G669" s="185"/>
      <c r="H669" s="185"/>
      <c r="I669" s="185"/>
      <c r="J669" s="185"/>
    </row>
    <row r="670" spans="1:10">
      <c r="A670" s="185"/>
      <c r="B670" s="185"/>
      <c r="C670" s="185"/>
      <c r="D670" s="185"/>
      <c r="E670" s="191"/>
      <c r="F670" s="185"/>
      <c r="G670" s="185"/>
      <c r="H670" s="185"/>
      <c r="I670" s="185"/>
      <c r="J670" s="185"/>
    </row>
    <row r="671" spans="1:10">
      <c r="A671" s="185"/>
      <c r="B671" s="185"/>
      <c r="C671" s="185"/>
      <c r="D671" s="185"/>
      <c r="E671" s="191"/>
      <c r="F671" s="185"/>
      <c r="G671" s="185"/>
      <c r="H671" s="185"/>
      <c r="I671" s="185"/>
      <c r="J671" s="185"/>
    </row>
    <row r="672" spans="1:10">
      <c r="A672" s="185"/>
      <c r="B672" s="185"/>
      <c r="C672" s="185"/>
      <c r="D672" s="185"/>
      <c r="E672" s="191"/>
      <c r="F672" s="185"/>
      <c r="G672" s="185"/>
      <c r="H672" s="185"/>
      <c r="I672" s="185"/>
      <c r="J672" s="185"/>
    </row>
    <row r="673" spans="1:10">
      <c r="A673" s="185"/>
      <c r="B673" s="185"/>
      <c r="C673" s="185"/>
      <c r="D673" s="185"/>
      <c r="E673" s="191"/>
      <c r="F673" s="185"/>
      <c r="G673" s="185"/>
      <c r="H673" s="185"/>
      <c r="I673" s="185"/>
      <c r="J673" s="185"/>
    </row>
    <row r="674" spans="1:10">
      <c r="A674" s="185"/>
      <c r="B674" s="185"/>
      <c r="C674" s="185"/>
      <c r="D674" s="185"/>
      <c r="E674" s="191"/>
      <c r="F674" s="185"/>
      <c r="G674" s="185"/>
      <c r="H674" s="185"/>
      <c r="I674" s="185"/>
      <c r="J674" s="185"/>
    </row>
    <row r="675" spans="1:10">
      <c r="A675" s="185"/>
      <c r="B675" s="185"/>
      <c r="C675" s="185"/>
      <c r="D675" s="185"/>
      <c r="E675" s="191"/>
      <c r="F675" s="185"/>
      <c r="G675" s="185"/>
      <c r="H675" s="185"/>
      <c r="I675" s="185"/>
      <c r="J675" s="185"/>
    </row>
    <row r="676" spans="1:10">
      <c r="A676" s="185"/>
      <c r="B676" s="185"/>
      <c r="C676" s="185"/>
      <c r="D676" s="185"/>
      <c r="E676" s="191"/>
      <c r="F676" s="185"/>
      <c r="G676" s="185"/>
      <c r="H676" s="185"/>
      <c r="I676" s="185"/>
      <c r="J676" s="185"/>
    </row>
    <row r="677" spans="1:10">
      <c r="A677" s="185"/>
      <c r="B677" s="185"/>
      <c r="C677" s="185"/>
      <c r="D677" s="185"/>
      <c r="E677" s="191"/>
      <c r="F677" s="185"/>
      <c r="G677" s="185"/>
      <c r="H677" s="185"/>
      <c r="I677" s="185"/>
      <c r="J677" s="185"/>
    </row>
    <row r="678" spans="1:10">
      <c r="A678" s="185"/>
      <c r="B678" s="185"/>
      <c r="C678" s="185"/>
      <c r="D678" s="185"/>
      <c r="E678" s="191"/>
      <c r="F678" s="185"/>
      <c r="G678" s="185"/>
      <c r="H678" s="185"/>
      <c r="I678" s="185"/>
      <c r="J678" s="185"/>
    </row>
    <row r="679" spans="1:10">
      <c r="A679" s="185"/>
      <c r="B679" s="185"/>
      <c r="C679" s="185"/>
      <c r="D679" s="185"/>
      <c r="E679" s="191"/>
      <c r="F679" s="185"/>
      <c r="G679" s="185"/>
      <c r="H679" s="185"/>
      <c r="I679" s="185"/>
      <c r="J679" s="185"/>
    </row>
    <row r="680" spans="1:10">
      <c r="A680" s="185"/>
      <c r="B680" s="185"/>
      <c r="C680" s="185"/>
      <c r="D680" s="185"/>
      <c r="E680" s="191"/>
      <c r="F680" s="185"/>
      <c r="G680" s="185"/>
      <c r="H680" s="185"/>
      <c r="I680" s="185"/>
      <c r="J680" s="185"/>
    </row>
    <row r="681" spans="1:10">
      <c r="A681" s="185"/>
      <c r="B681" s="185"/>
      <c r="C681" s="185"/>
      <c r="D681" s="185"/>
      <c r="E681" s="191"/>
      <c r="F681" s="185"/>
      <c r="G681" s="185"/>
      <c r="H681" s="185"/>
      <c r="I681" s="185"/>
      <c r="J681" s="185"/>
    </row>
    <row r="682" spans="1:10">
      <c r="A682" s="185"/>
      <c r="B682" s="185"/>
      <c r="C682" s="185"/>
      <c r="D682" s="185"/>
      <c r="E682" s="191"/>
      <c r="F682" s="185"/>
      <c r="G682" s="185"/>
      <c r="H682" s="185"/>
      <c r="I682" s="185"/>
      <c r="J682" s="185"/>
    </row>
    <row r="683" spans="1:10">
      <c r="A683" s="185"/>
      <c r="B683" s="185"/>
      <c r="C683" s="185"/>
      <c r="D683" s="185"/>
      <c r="E683" s="191"/>
      <c r="F683" s="185"/>
      <c r="G683" s="185"/>
      <c r="H683" s="185"/>
      <c r="I683" s="185"/>
      <c r="J683" s="185"/>
    </row>
    <row r="684" spans="1:10">
      <c r="A684" s="185"/>
      <c r="B684" s="185"/>
      <c r="C684" s="185"/>
      <c r="D684" s="185"/>
      <c r="E684" s="191"/>
      <c r="F684" s="185"/>
      <c r="G684" s="185"/>
      <c r="H684" s="185"/>
      <c r="I684" s="185"/>
      <c r="J684" s="185"/>
    </row>
    <row r="685" spans="1:10">
      <c r="A685" s="185"/>
      <c r="B685" s="185"/>
      <c r="C685" s="185"/>
      <c r="D685" s="185"/>
      <c r="E685" s="191"/>
      <c r="F685" s="185"/>
      <c r="G685" s="185"/>
      <c r="H685" s="185"/>
      <c r="I685" s="185"/>
      <c r="J685" s="185"/>
    </row>
    <row r="686" spans="1:10">
      <c r="A686" s="185"/>
      <c r="B686" s="185"/>
      <c r="C686" s="185"/>
      <c r="D686" s="185"/>
      <c r="E686" s="191"/>
      <c r="F686" s="185"/>
      <c r="G686" s="185"/>
      <c r="H686" s="185"/>
      <c r="I686" s="185"/>
      <c r="J686" s="185"/>
    </row>
    <row r="687" spans="1:10">
      <c r="A687" s="185"/>
      <c r="B687" s="185"/>
      <c r="C687" s="185"/>
      <c r="D687" s="185"/>
      <c r="E687" s="191"/>
      <c r="F687" s="185"/>
      <c r="G687" s="185"/>
      <c r="H687" s="185"/>
      <c r="I687" s="185"/>
      <c r="J687" s="185"/>
    </row>
    <row r="688" spans="1:10">
      <c r="A688" s="185"/>
      <c r="B688" s="185"/>
      <c r="C688" s="185"/>
      <c r="D688" s="185"/>
      <c r="E688" s="191"/>
      <c r="F688" s="185"/>
      <c r="G688" s="185"/>
      <c r="H688" s="185"/>
      <c r="I688" s="185"/>
      <c r="J688" s="185"/>
    </row>
    <row r="689" spans="1:10">
      <c r="A689" s="185"/>
      <c r="B689" s="185"/>
      <c r="C689" s="185"/>
      <c r="D689" s="185"/>
      <c r="E689" s="191"/>
      <c r="F689" s="185"/>
      <c r="G689" s="185"/>
      <c r="H689" s="185"/>
      <c r="I689" s="185"/>
      <c r="J689" s="185"/>
    </row>
    <row r="690" spans="1:10">
      <c r="A690" s="185"/>
      <c r="B690" s="185"/>
      <c r="C690" s="185"/>
      <c r="D690" s="185"/>
      <c r="E690" s="191"/>
      <c r="F690" s="185"/>
      <c r="G690" s="185"/>
      <c r="H690" s="185"/>
      <c r="I690" s="185"/>
      <c r="J690" s="185"/>
    </row>
    <row r="691" spans="1:10">
      <c r="A691" s="185"/>
      <c r="B691" s="185"/>
      <c r="C691" s="185"/>
      <c r="D691" s="185"/>
      <c r="E691" s="191"/>
      <c r="F691" s="185"/>
      <c r="G691" s="185"/>
      <c r="H691" s="185"/>
      <c r="I691" s="185"/>
      <c r="J691" s="185"/>
    </row>
    <row r="692" spans="1:10">
      <c r="A692" s="185"/>
      <c r="B692" s="185"/>
      <c r="C692" s="185"/>
      <c r="D692" s="185"/>
      <c r="E692" s="191"/>
      <c r="F692" s="185"/>
      <c r="G692" s="185"/>
      <c r="H692" s="185"/>
      <c r="I692" s="185"/>
      <c r="J692" s="185"/>
    </row>
    <row r="693" spans="1:10">
      <c r="A693" s="185"/>
      <c r="B693" s="185"/>
      <c r="C693" s="185"/>
      <c r="D693" s="185"/>
      <c r="E693" s="191"/>
      <c r="F693" s="185"/>
      <c r="G693" s="185"/>
      <c r="H693" s="185"/>
      <c r="I693" s="185"/>
      <c r="J693" s="185"/>
    </row>
    <row r="694" spans="1:10">
      <c r="A694" s="185"/>
      <c r="B694" s="185"/>
      <c r="C694" s="185"/>
      <c r="D694" s="185"/>
      <c r="E694" s="191"/>
      <c r="F694" s="185"/>
      <c r="G694" s="185"/>
      <c r="H694" s="185"/>
      <c r="I694" s="185"/>
      <c r="J694" s="185"/>
    </row>
    <row r="695" spans="1:10">
      <c r="A695" s="185"/>
      <c r="B695" s="185"/>
      <c r="C695" s="185"/>
      <c r="D695" s="185"/>
      <c r="E695" s="191"/>
      <c r="F695" s="185"/>
      <c r="G695" s="185"/>
      <c r="H695" s="185"/>
      <c r="I695" s="185"/>
      <c r="J695" s="185"/>
    </row>
    <row r="696" spans="1:10">
      <c r="A696" s="185"/>
      <c r="B696" s="185"/>
      <c r="C696" s="185"/>
      <c r="D696" s="185"/>
      <c r="E696" s="191"/>
      <c r="F696" s="185"/>
      <c r="G696" s="185"/>
      <c r="H696" s="185"/>
      <c r="I696" s="185"/>
      <c r="J696" s="185"/>
    </row>
    <row r="697" spans="1:10">
      <c r="A697" s="185"/>
      <c r="B697" s="185"/>
      <c r="C697" s="185"/>
      <c r="D697" s="185"/>
      <c r="E697" s="191"/>
      <c r="F697" s="185"/>
      <c r="G697" s="185"/>
      <c r="H697" s="185"/>
      <c r="I697" s="185"/>
      <c r="J697" s="185"/>
    </row>
    <row r="698" spans="1:10">
      <c r="A698" s="185"/>
      <c r="B698" s="185"/>
      <c r="C698" s="185"/>
      <c r="D698" s="185"/>
      <c r="E698" s="191"/>
      <c r="F698" s="185"/>
      <c r="G698" s="185"/>
      <c r="H698" s="185"/>
      <c r="I698" s="185"/>
      <c r="J698" s="185"/>
    </row>
    <row r="699" spans="1:10">
      <c r="A699" s="185"/>
      <c r="B699" s="185"/>
      <c r="C699" s="185"/>
      <c r="D699" s="185"/>
      <c r="E699" s="191"/>
      <c r="F699" s="185"/>
      <c r="G699" s="185"/>
      <c r="H699" s="185"/>
      <c r="I699" s="185"/>
      <c r="J699" s="185"/>
    </row>
    <row r="700" spans="1:10">
      <c r="A700" s="185"/>
      <c r="B700" s="185"/>
      <c r="C700" s="185"/>
      <c r="D700" s="185"/>
      <c r="E700" s="191"/>
      <c r="F700" s="185"/>
      <c r="G700" s="185"/>
      <c r="H700" s="185"/>
      <c r="I700" s="185"/>
      <c r="J700" s="185"/>
    </row>
    <row r="701" spans="1:10">
      <c r="A701" s="185"/>
      <c r="B701" s="185"/>
      <c r="C701" s="185"/>
      <c r="D701" s="185"/>
      <c r="E701" s="191"/>
      <c r="F701" s="185"/>
      <c r="G701" s="185"/>
      <c r="H701" s="185"/>
      <c r="I701" s="185"/>
      <c r="J701" s="185"/>
    </row>
    <row r="702" spans="1:10">
      <c r="A702" s="185"/>
      <c r="B702" s="185"/>
      <c r="C702" s="185"/>
      <c r="D702" s="185"/>
      <c r="E702" s="191"/>
      <c r="F702" s="185"/>
      <c r="G702" s="185"/>
      <c r="H702" s="185"/>
      <c r="I702" s="185"/>
      <c r="J702" s="185"/>
    </row>
    <row r="703" spans="1:10">
      <c r="A703" s="185"/>
      <c r="B703" s="185"/>
      <c r="C703" s="185"/>
      <c r="D703" s="185"/>
      <c r="E703" s="191"/>
      <c r="F703" s="185"/>
      <c r="G703" s="185"/>
      <c r="H703" s="185"/>
      <c r="I703" s="185"/>
      <c r="J703" s="185"/>
    </row>
    <row r="704" spans="1:10">
      <c r="A704" s="185"/>
      <c r="B704" s="185"/>
      <c r="C704" s="185"/>
      <c r="D704" s="185"/>
      <c r="E704" s="191"/>
      <c r="F704" s="185"/>
      <c r="G704" s="185"/>
      <c r="H704" s="185"/>
      <c r="I704" s="185"/>
      <c r="J704" s="185"/>
    </row>
    <row r="705" spans="1:10">
      <c r="A705" s="185"/>
      <c r="B705" s="185"/>
      <c r="C705" s="185"/>
      <c r="D705" s="185"/>
      <c r="E705" s="191"/>
      <c r="F705" s="185"/>
      <c r="G705" s="185"/>
      <c r="H705" s="185"/>
      <c r="I705" s="185"/>
      <c r="J705" s="185"/>
    </row>
    <row r="706" spans="1:10">
      <c r="A706" s="185"/>
      <c r="B706" s="185"/>
      <c r="C706" s="185"/>
      <c r="D706" s="185"/>
      <c r="E706" s="191"/>
      <c r="F706" s="185"/>
      <c r="G706" s="185"/>
      <c r="H706" s="185"/>
      <c r="I706" s="185"/>
      <c r="J706" s="185"/>
    </row>
    <row r="707" spans="1:10">
      <c r="A707" s="185"/>
      <c r="B707" s="185"/>
      <c r="C707" s="185"/>
      <c r="D707" s="185"/>
      <c r="E707" s="191"/>
      <c r="F707" s="185"/>
      <c r="G707" s="185"/>
      <c r="H707" s="185"/>
      <c r="I707" s="185"/>
      <c r="J707" s="185"/>
    </row>
    <row r="708" spans="1:10">
      <c r="A708" s="185"/>
      <c r="B708" s="185"/>
      <c r="C708" s="185"/>
      <c r="D708" s="185"/>
      <c r="E708" s="191"/>
      <c r="F708" s="185"/>
      <c r="G708" s="185"/>
      <c r="H708" s="185"/>
      <c r="I708" s="185"/>
      <c r="J708" s="185"/>
    </row>
    <row r="709" spans="1:10">
      <c r="A709" s="185"/>
      <c r="B709" s="185"/>
      <c r="C709" s="185"/>
      <c r="D709" s="185"/>
      <c r="E709" s="191"/>
      <c r="F709" s="185"/>
      <c r="G709" s="185"/>
      <c r="H709" s="185"/>
      <c r="I709" s="185"/>
      <c r="J709" s="185"/>
    </row>
    <row r="710" spans="1:10">
      <c r="A710" s="185"/>
      <c r="B710" s="185"/>
      <c r="C710" s="185"/>
      <c r="D710" s="185"/>
      <c r="E710" s="191"/>
      <c r="F710" s="185"/>
      <c r="G710" s="185"/>
      <c r="H710" s="185"/>
      <c r="I710" s="185"/>
      <c r="J710" s="185"/>
    </row>
    <row r="711" spans="1:10">
      <c r="A711" s="185"/>
      <c r="B711" s="185"/>
      <c r="C711" s="185"/>
      <c r="D711" s="185"/>
      <c r="E711" s="191"/>
      <c r="F711" s="185"/>
      <c r="G711" s="185"/>
      <c r="H711" s="185"/>
      <c r="I711" s="185"/>
      <c r="J711" s="185"/>
    </row>
    <row r="712" spans="1:10">
      <c r="A712" s="185"/>
      <c r="B712" s="185"/>
      <c r="C712" s="185"/>
      <c r="D712" s="185"/>
      <c r="E712" s="191"/>
      <c r="F712" s="185"/>
      <c r="G712" s="185"/>
      <c r="H712" s="185"/>
      <c r="I712" s="185"/>
      <c r="J712" s="185"/>
    </row>
    <row r="713" spans="1:10">
      <c r="A713" s="185"/>
      <c r="B713" s="185"/>
      <c r="C713" s="185"/>
      <c r="D713" s="185"/>
      <c r="E713" s="191"/>
      <c r="F713" s="185"/>
      <c r="G713" s="185"/>
      <c r="H713" s="185"/>
      <c r="I713" s="185"/>
      <c r="J713" s="185"/>
    </row>
    <row r="714" spans="1:10">
      <c r="A714" s="185"/>
      <c r="B714" s="185"/>
      <c r="C714" s="185"/>
      <c r="D714" s="185"/>
      <c r="E714" s="191"/>
      <c r="F714" s="185"/>
      <c r="G714" s="185"/>
      <c r="H714" s="185"/>
      <c r="I714" s="185"/>
      <c r="J714" s="185"/>
    </row>
    <row r="715" spans="1:10">
      <c r="A715" s="185"/>
      <c r="B715" s="185"/>
      <c r="C715" s="185"/>
      <c r="D715" s="185"/>
      <c r="E715" s="191"/>
      <c r="F715" s="185"/>
      <c r="G715" s="185"/>
      <c r="H715" s="185"/>
      <c r="I715" s="185"/>
      <c r="J715" s="185"/>
    </row>
    <row r="716" spans="1:10">
      <c r="A716" s="185"/>
      <c r="B716" s="185"/>
      <c r="C716" s="185"/>
      <c r="D716" s="185"/>
      <c r="E716" s="191"/>
      <c r="F716" s="185"/>
      <c r="G716" s="185"/>
      <c r="H716" s="185"/>
      <c r="I716" s="185"/>
      <c r="J716" s="185"/>
    </row>
    <row r="717" spans="1:10">
      <c r="A717" s="185"/>
      <c r="B717" s="185"/>
      <c r="C717" s="185"/>
      <c r="D717" s="185"/>
      <c r="E717" s="191"/>
      <c r="F717" s="185"/>
      <c r="G717" s="185"/>
      <c r="H717" s="185"/>
      <c r="I717" s="185"/>
      <c r="J717" s="185"/>
    </row>
    <row r="718" spans="1:10">
      <c r="A718" s="185"/>
      <c r="B718" s="185"/>
      <c r="C718" s="185"/>
      <c r="D718" s="185"/>
      <c r="E718" s="191"/>
      <c r="F718" s="185"/>
      <c r="G718" s="185"/>
      <c r="H718" s="185"/>
      <c r="I718" s="185"/>
      <c r="J718" s="185"/>
    </row>
    <row r="719" spans="1:10">
      <c r="A719" s="185"/>
      <c r="B719" s="185"/>
      <c r="C719" s="185"/>
      <c r="D719" s="185"/>
      <c r="E719" s="191"/>
      <c r="F719" s="185"/>
      <c r="G719" s="185"/>
      <c r="H719" s="185"/>
      <c r="I719" s="185"/>
      <c r="J719" s="185"/>
    </row>
    <row r="720" spans="1:10">
      <c r="A720" s="185"/>
      <c r="B720" s="185"/>
      <c r="C720" s="185"/>
      <c r="D720" s="185"/>
      <c r="E720" s="191"/>
      <c r="F720" s="185"/>
      <c r="G720" s="185"/>
      <c r="H720" s="185"/>
      <c r="I720" s="185"/>
      <c r="J720" s="185"/>
    </row>
    <row r="721" spans="1:10">
      <c r="A721" s="185"/>
      <c r="B721" s="185"/>
      <c r="C721" s="185"/>
      <c r="D721" s="185"/>
      <c r="E721" s="191"/>
      <c r="F721" s="185"/>
      <c r="G721" s="185"/>
      <c r="H721" s="185"/>
      <c r="I721" s="185"/>
      <c r="J721" s="185"/>
    </row>
    <row r="722" spans="1:10">
      <c r="A722" s="185"/>
      <c r="B722" s="185"/>
      <c r="C722" s="185"/>
      <c r="D722" s="185"/>
      <c r="E722" s="191"/>
      <c r="F722" s="185"/>
      <c r="G722" s="185"/>
      <c r="H722" s="185"/>
      <c r="I722" s="185"/>
      <c r="J722" s="185"/>
    </row>
    <row r="723" spans="1:10">
      <c r="A723" s="185"/>
      <c r="B723" s="185"/>
      <c r="C723" s="185"/>
      <c r="D723" s="185"/>
      <c r="E723" s="191"/>
      <c r="F723" s="185"/>
      <c r="G723" s="185"/>
      <c r="H723" s="185"/>
      <c r="I723" s="185"/>
      <c r="J723" s="185"/>
    </row>
    <row r="724" spans="1:10">
      <c r="A724" s="185"/>
      <c r="B724" s="185"/>
      <c r="C724" s="185"/>
      <c r="D724" s="185"/>
      <c r="E724" s="191"/>
      <c r="F724" s="185"/>
      <c r="G724" s="185"/>
      <c r="H724" s="185"/>
      <c r="I724" s="185"/>
      <c r="J724" s="185"/>
    </row>
    <row r="725" spans="1:10">
      <c r="A725" s="185"/>
      <c r="B725" s="185"/>
      <c r="C725" s="185"/>
      <c r="D725" s="185"/>
      <c r="E725" s="191"/>
      <c r="F725" s="185"/>
      <c r="G725" s="185"/>
      <c r="H725" s="185"/>
      <c r="I725" s="185"/>
      <c r="J725" s="185"/>
    </row>
    <row r="726" spans="1:10">
      <c r="A726" s="185"/>
      <c r="B726" s="185"/>
      <c r="C726" s="185"/>
      <c r="D726" s="185"/>
      <c r="E726" s="191"/>
      <c r="F726" s="185"/>
      <c r="G726" s="185"/>
      <c r="H726" s="185"/>
      <c r="I726" s="185"/>
      <c r="J726" s="185"/>
    </row>
    <row r="727" spans="1:10">
      <c r="A727" s="185"/>
      <c r="B727" s="185"/>
      <c r="C727" s="185"/>
      <c r="D727" s="185"/>
      <c r="E727" s="191"/>
      <c r="F727" s="185"/>
      <c r="G727" s="185"/>
      <c r="H727" s="185"/>
      <c r="I727" s="185"/>
      <c r="J727" s="185"/>
    </row>
    <row r="728" spans="1:10">
      <c r="A728" s="185"/>
      <c r="B728" s="185"/>
      <c r="C728" s="185"/>
      <c r="D728" s="185"/>
      <c r="E728" s="191"/>
      <c r="F728" s="185"/>
      <c r="G728" s="185"/>
      <c r="H728" s="185"/>
      <c r="I728" s="185"/>
      <c r="J728" s="185"/>
    </row>
    <row r="729" spans="1:10">
      <c r="A729" s="185"/>
      <c r="B729" s="185"/>
      <c r="C729" s="185"/>
      <c r="D729" s="185"/>
      <c r="E729" s="191"/>
      <c r="F729" s="185"/>
      <c r="G729" s="185"/>
      <c r="H729" s="185"/>
      <c r="I729" s="185"/>
      <c r="J729" s="185"/>
    </row>
    <row r="730" spans="1:10">
      <c r="A730" s="185"/>
      <c r="B730" s="185"/>
      <c r="C730" s="185"/>
      <c r="D730" s="185"/>
      <c r="E730" s="191"/>
      <c r="F730" s="185"/>
      <c r="G730" s="185"/>
      <c r="H730" s="185"/>
      <c r="I730" s="185"/>
      <c r="J730" s="185"/>
    </row>
    <row r="731" spans="1:10">
      <c r="A731" s="185"/>
      <c r="B731" s="185"/>
      <c r="C731" s="185"/>
      <c r="D731" s="185"/>
      <c r="E731" s="191"/>
      <c r="F731" s="185"/>
      <c r="G731" s="185"/>
      <c r="H731" s="185"/>
      <c r="I731" s="185"/>
      <c r="J731" s="185"/>
    </row>
    <row r="732" spans="1:10">
      <c r="A732" s="185"/>
      <c r="B732" s="185"/>
      <c r="C732" s="185"/>
      <c r="D732" s="185"/>
      <c r="E732" s="191"/>
      <c r="F732" s="185"/>
      <c r="G732" s="185"/>
      <c r="H732" s="185"/>
      <c r="I732" s="185"/>
      <c r="J732" s="185"/>
    </row>
    <row r="733" spans="1:10">
      <c r="A733" s="185"/>
      <c r="B733" s="185"/>
      <c r="C733" s="185"/>
      <c r="D733" s="185"/>
      <c r="E733" s="191"/>
      <c r="F733" s="185"/>
      <c r="G733" s="185"/>
      <c r="H733" s="185"/>
      <c r="I733" s="185"/>
      <c r="J733" s="185"/>
    </row>
    <row r="734" spans="1:10">
      <c r="A734" s="185"/>
      <c r="B734" s="185"/>
      <c r="C734" s="185"/>
      <c r="D734" s="185"/>
      <c r="E734" s="191"/>
      <c r="F734" s="185"/>
      <c r="G734" s="185"/>
      <c r="H734" s="185"/>
      <c r="I734" s="185"/>
      <c r="J734" s="185"/>
    </row>
    <row r="735" spans="1:10">
      <c r="A735" s="185"/>
      <c r="B735" s="185"/>
      <c r="C735" s="185"/>
      <c r="D735" s="185"/>
      <c r="E735" s="191"/>
      <c r="F735" s="185"/>
      <c r="G735" s="185"/>
      <c r="H735" s="185"/>
      <c r="I735" s="185"/>
      <c r="J735" s="185"/>
    </row>
    <row r="736" spans="1:10">
      <c r="A736" s="185"/>
      <c r="B736" s="185"/>
      <c r="C736" s="185"/>
      <c r="D736" s="185"/>
      <c r="E736" s="191"/>
      <c r="F736" s="185"/>
      <c r="G736" s="185"/>
      <c r="H736" s="185"/>
      <c r="I736" s="185"/>
      <c r="J736" s="185"/>
    </row>
    <row r="737" spans="1:10">
      <c r="A737" s="185"/>
      <c r="B737" s="185"/>
      <c r="C737" s="185"/>
      <c r="D737" s="185"/>
      <c r="E737" s="191"/>
      <c r="F737" s="185"/>
      <c r="G737" s="185"/>
      <c r="H737" s="185"/>
      <c r="I737" s="185"/>
      <c r="J737" s="185"/>
    </row>
    <row r="738" spans="1:10">
      <c r="A738" s="185"/>
      <c r="B738" s="185"/>
      <c r="C738" s="185"/>
      <c r="D738" s="185"/>
      <c r="E738" s="191"/>
      <c r="F738" s="185"/>
      <c r="G738" s="185"/>
      <c r="H738" s="185"/>
      <c r="I738" s="185"/>
      <c r="J738" s="185"/>
    </row>
    <row r="739" spans="1:10">
      <c r="A739" s="185"/>
      <c r="B739" s="185"/>
      <c r="C739" s="185"/>
      <c r="D739" s="185"/>
      <c r="E739" s="191"/>
      <c r="F739" s="185"/>
      <c r="G739" s="185"/>
      <c r="H739" s="185"/>
      <c r="I739" s="185"/>
      <c r="J739" s="185"/>
    </row>
    <row r="740" spans="1:10">
      <c r="A740" s="185"/>
      <c r="B740" s="185"/>
      <c r="C740" s="185"/>
      <c r="D740" s="185"/>
      <c r="E740" s="191"/>
      <c r="F740" s="185"/>
      <c r="G740" s="185"/>
      <c r="H740" s="185"/>
      <c r="I740" s="185"/>
      <c r="J740" s="185"/>
    </row>
    <row r="741" spans="1:10">
      <c r="A741" s="185"/>
      <c r="B741" s="185"/>
      <c r="C741" s="185"/>
      <c r="D741" s="185"/>
      <c r="E741" s="191"/>
      <c r="F741" s="185"/>
      <c r="G741" s="185"/>
      <c r="H741" s="185"/>
      <c r="I741" s="185"/>
      <c r="J741" s="185"/>
    </row>
    <row r="742" spans="1:10">
      <c r="A742" s="185"/>
      <c r="B742" s="185"/>
      <c r="C742" s="185"/>
      <c r="D742" s="185"/>
      <c r="E742" s="191"/>
      <c r="F742" s="185"/>
      <c r="G742" s="185"/>
      <c r="H742" s="185"/>
      <c r="I742" s="185"/>
      <c r="J742" s="185"/>
    </row>
    <row r="743" spans="1:10">
      <c r="A743" s="185"/>
      <c r="B743" s="185"/>
      <c r="C743" s="185"/>
      <c r="D743" s="185"/>
      <c r="E743" s="191"/>
      <c r="F743" s="185"/>
      <c r="G743" s="185"/>
      <c r="H743" s="185"/>
      <c r="I743" s="185"/>
      <c r="J743" s="185"/>
    </row>
    <row r="744" spans="1:10">
      <c r="A744" s="185"/>
      <c r="B744" s="185"/>
      <c r="C744" s="185"/>
      <c r="D744" s="185"/>
      <c r="E744" s="191"/>
      <c r="F744" s="185"/>
      <c r="G744" s="185"/>
      <c r="H744" s="185"/>
      <c r="I744" s="185"/>
      <c r="J744" s="185"/>
    </row>
    <row r="745" spans="1:10">
      <c r="A745" s="185"/>
      <c r="B745" s="185"/>
      <c r="C745" s="185"/>
      <c r="D745" s="185"/>
      <c r="E745" s="191"/>
      <c r="F745" s="185"/>
      <c r="G745" s="185"/>
      <c r="H745" s="185"/>
      <c r="I745" s="185"/>
      <c r="J745" s="185"/>
    </row>
    <row r="746" spans="1:10">
      <c r="A746" s="185"/>
      <c r="B746" s="185"/>
      <c r="C746" s="185"/>
      <c r="D746" s="185"/>
      <c r="E746" s="191"/>
      <c r="F746" s="185"/>
      <c r="G746" s="185"/>
      <c r="H746" s="185"/>
      <c r="I746" s="185"/>
      <c r="J746" s="185"/>
    </row>
    <row r="747" spans="1:10">
      <c r="A747" s="185"/>
      <c r="B747" s="185"/>
      <c r="C747" s="185"/>
      <c r="D747" s="185"/>
      <c r="E747" s="191"/>
      <c r="F747" s="185"/>
      <c r="G747" s="185"/>
      <c r="H747" s="185"/>
      <c r="I747" s="185"/>
      <c r="J747" s="185"/>
    </row>
    <row r="748" spans="1:10">
      <c r="A748" s="185"/>
      <c r="B748" s="185"/>
      <c r="C748" s="185"/>
      <c r="D748" s="185"/>
      <c r="E748" s="191"/>
      <c r="F748" s="185"/>
      <c r="G748" s="185"/>
      <c r="H748" s="185"/>
      <c r="I748" s="185"/>
      <c r="J748" s="185"/>
    </row>
    <row r="749" spans="1:10">
      <c r="A749" s="185"/>
      <c r="B749" s="185"/>
      <c r="C749" s="185"/>
      <c r="D749" s="185"/>
      <c r="E749" s="191"/>
      <c r="F749" s="185"/>
      <c r="G749" s="185"/>
      <c r="H749" s="185"/>
      <c r="I749" s="185"/>
      <c r="J749" s="185"/>
    </row>
    <row r="750" spans="1:10">
      <c r="A750" s="185"/>
      <c r="B750" s="185"/>
      <c r="C750" s="185"/>
      <c r="D750" s="185"/>
      <c r="E750" s="191"/>
      <c r="F750" s="185"/>
      <c r="G750" s="185"/>
      <c r="H750" s="185"/>
      <c r="I750" s="185"/>
      <c r="J750" s="185"/>
    </row>
    <row r="751" spans="1:10">
      <c r="A751" s="185"/>
      <c r="B751" s="185"/>
      <c r="C751" s="185"/>
      <c r="D751" s="185"/>
      <c r="E751" s="191"/>
      <c r="F751" s="185"/>
      <c r="G751" s="185"/>
      <c r="H751" s="185"/>
      <c r="I751" s="185"/>
      <c r="J751" s="185"/>
    </row>
    <row r="752" spans="1:10">
      <c r="A752" s="185"/>
      <c r="B752" s="185"/>
      <c r="C752" s="185"/>
      <c r="D752" s="185"/>
      <c r="E752" s="191"/>
      <c r="F752" s="185"/>
      <c r="G752" s="185"/>
      <c r="H752" s="185"/>
      <c r="I752" s="185"/>
      <c r="J752" s="185"/>
    </row>
    <row r="753" spans="1:10">
      <c r="A753" s="185"/>
      <c r="B753" s="185"/>
      <c r="C753" s="185"/>
      <c r="D753" s="185"/>
      <c r="E753" s="191"/>
      <c r="F753" s="185"/>
      <c r="G753" s="185"/>
      <c r="H753" s="185"/>
      <c r="I753" s="185"/>
      <c r="J753" s="185"/>
    </row>
    <row r="754" spans="1:10">
      <c r="A754" s="185"/>
      <c r="B754" s="185"/>
      <c r="C754" s="185"/>
      <c r="D754" s="185"/>
      <c r="E754" s="191"/>
      <c r="F754" s="185"/>
      <c r="G754" s="185"/>
      <c r="H754" s="185"/>
      <c r="I754" s="185"/>
      <c r="J754" s="185"/>
    </row>
    <row r="755" spans="1:10">
      <c r="A755" s="185"/>
      <c r="B755" s="185"/>
      <c r="C755" s="185"/>
      <c r="D755" s="185"/>
      <c r="E755" s="191"/>
      <c r="F755" s="185"/>
      <c r="G755" s="185"/>
      <c r="H755" s="185"/>
      <c r="I755" s="185"/>
      <c r="J755" s="185"/>
    </row>
    <row r="756" spans="1:10">
      <c r="A756" s="185"/>
      <c r="B756" s="185"/>
      <c r="C756" s="185"/>
      <c r="D756" s="185"/>
      <c r="E756" s="191"/>
      <c r="F756" s="185"/>
      <c r="G756" s="185"/>
      <c r="H756" s="185"/>
      <c r="I756" s="185"/>
      <c r="J756" s="185"/>
    </row>
    <row r="757" spans="1:10">
      <c r="A757" s="185"/>
      <c r="B757" s="185"/>
      <c r="C757" s="185"/>
      <c r="D757" s="185"/>
      <c r="E757" s="191"/>
      <c r="F757" s="185"/>
      <c r="G757" s="185"/>
      <c r="H757" s="185"/>
      <c r="I757" s="185"/>
      <c r="J757" s="185"/>
    </row>
    <row r="758" spans="1:10">
      <c r="A758" s="185"/>
      <c r="B758" s="185"/>
      <c r="C758" s="185"/>
      <c r="D758" s="185"/>
      <c r="E758" s="191"/>
      <c r="F758" s="185"/>
      <c r="G758" s="185"/>
      <c r="H758" s="185"/>
      <c r="I758" s="185"/>
      <c r="J758" s="185"/>
    </row>
    <row r="759" spans="1:10">
      <c r="A759" s="185"/>
      <c r="B759" s="185"/>
      <c r="C759" s="185"/>
      <c r="D759" s="185"/>
      <c r="E759" s="191"/>
      <c r="F759" s="185"/>
      <c r="G759" s="185"/>
      <c r="H759" s="185"/>
      <c r="I759" s="185"/>
      <c r="J759" s="185"/>
    </row>
    <row r="760" spans="1:10">
      <c r="A760" s="185"/>
      <c r="B760" s="185"/>
      <c r="C760" s="185"/>
      <c r="D760" s="185"/>
      <c r="E760" s="191"/>
      <c r="F760" s="185"/>
      <c r="G760" s="185"/>
      <c r="H760" s="185"/>
      <c r="I760" s="185"/>
      <c r="J760" s="185"/>
    </row>
    <row r="761" spans="1:10">
      <c r="A761" s="185"/>
      <c r="B761" s="185"/>
      <c r="C761" s="185"/>
      <c r="D761" s="185"/>
      <c r="E761" s="191"/>
      <c r="F761" s="185"/>
      <c r="G761" s="185"/>
      <c r="H761" s="185"/>
      <c r="I761" s="185"/>
      <c r="J761" s="185"/>
    </row>
    <row r="762" spans="1:10">
      <c r="A762" s="185"/>
      <c r="B762" s="185"/>
      <c r="C762" s="185"/>
      <c r="D762" s="185"/>
      <c r="E762" s="191"/>
      <c r="F762" s="185"/>
      <c r="G762" s="185"/>
      <c r="H762" s="185"/>
      <c r="I762" s="185"/>
      <c r="J762" s="185"/>
    </row>
    <row r="763" spans="1:10">
      <c r="A763" s="185"/>
      <c r="B763" s="185"/>
      <c r="C763" s="185"/>
      <c r="D763" s="185"/>
      <c r="E763" s="191"/>
      <c r="F763" s="185"/>
      <c r="G763" s="185"/>
      <c r="H763" s="185"/>
      <c r="I763" s="185"/>
      <c r="J763" s="185"/>
    </row>
    <row r="764" spans="1:10">
      <c r="A764" s="185"/>
      <c r="B764" s="185"/>
      <c r="C764" s="185"/>
      <c r="D764" s="185"/>
      <c r="E764" s="191"/>
      <c r="F764" s="185"/>
      <c r="G764" s="185"/>
      <c r="H764" s="185"/>
      <c r="I764" s="185"/>
      <c r="J764" s="185"/>
    </row>
    <row r="765" spans="1:10">
      <c r="A765" s="185"/>
      <c r="B765" s="185"/>
      <c r="C765" s="185"/>
      <c r="D765" s="185"/>
      <c r="E765" s="191"/>
      <c r="F765" s="185"/>
      <c r="G765" s="185"/>
      <c r="H765" s="185"/>
      <c r="I765" s="185"/>
      <c r="J765" s="185"/>
    </row>
    <row r="766" spans="1:10">
      <c r="A766" s="185"/>
      <c r="B766" s="185"/>
      <c r="C766" s="185"/>
      <c r="D766" s="185"/>
      <c r="E766" s="191"/>
      <c r="F766" s="185"/>
      <c r="G766" s="185"/>
      <c r="H766" s="185"/>
      <c r="I766" s="185"/>
      <c r="J766" s="185"/>
    </row>
    <row r="767" spans="1:10">
      <c r="A767" s="185"/>
      <c r="B767" s="185"/>
      <c r="C767" s="185"/>
      <c r="D767" s="185"/>
      <c r="E767" s="191"/>
      <c r="F767" s="185"/>
      <c r="G767" s="185"/>
      <c r="H767" s="185"/>
      <c r="I767" s="185"/>
      <c r="J767" s="185"/>
    </row>
    <row r="768" spans="1:10">
      <c r="A768" s="185"/>
      <c r="B768" s="185"/>
      <c r="C768" s="185"/>
      <c r="D768" s="185"/>
      <c r="E768" s="191"/>
      <c r="F768" s="185"/>
      <c r="G768" s="185"/>
      <c r="H768" s="185"/>
      <c r="I768" s="185"/>
      <c r="J768" s="185"/>
    </row>
    <row r="769" spans="1:10">
      <c r="A769" s="185"/>
      <c r="B769" s="185"/>
      <c r="C769" s="185"/>
      <c r="D769" s="185"/>
      <c r="E769" s="191"/>
      <c r="F769" s="185"/>
      <c r="G769" s="185"/>
      <c r="H769" s="185"/>
      <c r="I769" s="185"/>
      <c r="J769" s="185"/>
    </row>
    <row r="770" spans="1:10">
      <c r="A770" s="185"/>
      <c r="B770" s="185"/>
      <c r="C770" s="185"/>
      <c r="D770" s="185"/>
      <c r="E770" s="191"/>
      <c r="F770" s="185"/>
      <c r="G770" s="185"/>
      <c r="H770" s="185"/>
      <c r="I770" s="185"/>
      <c r="J770" s="185"/>
    </row>
    <row r="771" spans="1:10">
      <c r="A771" s="185"/>
      <c r="B771" s="185"/>
      <c r="C771" s="185"/>
      <c r="D771" s="185"/>
      <c r="E771" s="191"/>
      <c r="F771" s="185"/>
      <c r="G771" s="185"/>
      <c r="H771" s="185"/>
      <c r="I771" s="185"/>
      <c r="J771" s="185"/>
    </row>
    <row r="772" spans="1:10">
      <c r="A772" s="185"/>
      <c r="B772" s="185"/>
      <c r="C772" s="185"/>
      <c r="D772" s="185"/>
      <c r="E772" s="191"/>
      <c r="F772" s="185"/>
      <c r="G772" s="185"/>
      <c r="H772" s="185"/>
      <c r="I772" s="185"/>
      <c r="J772" s="185"/>
    </row>
    <row r="773" spans="1:10">
      <c r="A773" s="185"/>
      <c r="B773" s="185"/>
      <c r="C773" s="185"/>
      <c r="D773" s="185"/>
      <c r="E773" s="191"/>
      <c r="F773" s="185"/>
      <c r="G773" s="185"/>
      <c r="H773" s="185"/>
      <c r="I773" s="185"/>
      <c r="J773" s="185"/>
    </row>
    <row r="774" spans="1:10">
      <c r="A774" s="185"/>
      <c r="B774" s="185"/>
      <c r="C774" s="185"/>
      <c r="D774" s="185"/>
      <c r="E774" s="191"/>
      <c r="F774" s="185"/>
      <c r="G774" s="185"/>
      <c r="H774" s="185"/>
      <c r="I774" s="185"/>
      <c r="J774" s="185"/>
    </row>
    <row r="775" spans="1:10">
      <c r="A775" s="185"/>
      <c r="B775" s="185"/>
      <c r="C775" s="185"/>
      <c r="D775" s="185"/>
      <c r="E775" s="191"/>
      <c r="F775" s="185"/>
      <c r="G775" s="185"/>
      <c r="H775" s="185"/>
      <c r="I775" s="185"/>
      <c r="J775" s="185"/>
    </row>
    <row r="776" spans="1:10">
      <c r="A776" s="185"/>
      <c r="B776" s="185"/>
      <c r="C776" s="185"/>
      <c r="D776" s="185"/>
      <c r="E776" s="191"/>
      <c r="F776" s="185"/>
      <c r="G776" s="185"/>
      <c r="H776" s="185"/>
      <c r="I776" s="185"/>
      <c r="J776" s="185"/>
    </row>
    <row r="777" spans="1:10">
      <c r="A777" s="185"/>
      <c r="B777" s="185"/>
      <c r="C777" s="185"/>
      <c r="D777" s="185"/>
      <c r="E777" s="191"/>
      <c r="F777" s="185"/>
      <c r="G777" s="185"/>
      <c r="H777" s="185"/>
      <c r="I777" s="185"/>
      <c r="J777" s="185"/>
    </row>
    <row r="778" spans="1:10">
      <c r="A778" s="185"/>
      <c r="B778" s="185"/>
      <c r="C778" s="185"/>
      <c r="D778" s="185"/>
      <c r="E778" s="191"/>
      <c r="F778" s="185"/>
      <c r="G778" s="185"/>
      <c r="H778" s="185"/>
      <c r="I778" s="185"/>
      <c r="J778" s="185"/>
    </row>
    <row r="779" spans="1:10">
      <c r="A779" s="185"/>
      <c r="B779" s="185"/>
      <c r="C779" s="185"/>
      <c r="D779" s="185"/>
      <c r="E779" s="191"/>
      <c r="F779" s="185"/>
      <c r="G779" s="185"/>
      <c r="H779" s="185"/>
      <c r="I779" s="185"/>
      <c r="J779" s="185"/>
    </row>
    <row r="780" spans="1:10">
      <c r="A780" s="185"/>
      <c r="B780" s="185"/>
      <c r="C780" s="185"/>
      <c r="D780" s="185"/>
      <c r="E780" s="191"/>
      <c r="F780" s="185"/>
      <c r="G780" s="185"/>
      <c r="H780" s="185"/>
      <c r="I780" s="185"/>
      <c r="J780" s="185"/>
    </row>
    <row r="781" spans="1:10">
      <c r="A781" s="185"/>
      <c r="B781" s="185"/>
      <c r="C781" s="185"/>
      <c r="D781" s="185"/>
      <c r="E781" s="191"/>
      <c r="F781" s="185"/>
      <c r="G781" s="185"/>
      <c r="H781" s="185"/>
      <c r="I781" s="185"/>
      <c r="J781" s="185"/>
    </row>
    <row r="782" spans="1:10">
      <c r="A782" s="185"/>
      <c r="B782" s="185"/>
      <c r="C782" s="185"/>
      <c r="D782" s="185"/>
      <c r="E782" s="191"/>
      <c r="F782" s="185"/>
      <c r="G782" s="185"/>
      <c r="H782" s="185"/>
      <c r="I782" s="185"/>
      <c r="J782" s="185"/>
    </row>
    <row r="783" spans="1:10">
      <c r="A783" s="185"/>
      <c r="B783" s="185"/>
      <c r="C783" s="185"/>
      <c r="D783" s="185"/>
      <c r="E783" s="191"/>
      <c r="F783" s="185"/>
      <c r="G783" s="185"/>
      <c r="H783" s="185"/>
      <c r="I783" s="185"/>
      <c r="J783" s="185"/>
    </row>
    <row r="784" spans="1:10">
      <c r="A784" s="185"/>
      <c r="B784" s="185"/>
      <c r="C784" s="185"/>
      <c r="D784" s="185"/>
      <c r="E784" s="191"/>
      <c r="F784" s="185"/>
      <c r="G784" s="185"/>
      <c r="H784" s="185"/>
      <c r="I784" s="185"/>
      <c r="J784" s="185"/>
    </row>
    <row r="785" spans="1:10">
      <c r="A785" s="185"/>
      <c r="B785" s="185"/>
      <c r="C785" s="185"/>
      <c r="D785" s="185"/>
      <c r="E785" s="191"/>
      <c r="F785" s="185"/>
      <c r="G785" s="185"/>
      <c r="H785" s="185"/>
      <c r="I785" s="185"/>
      <c r="J785" s="185"/>
    </row>
    <row r="786" spans="1:10">
      <c r="A786" s="185"/>
      <c r="B786" s="185"/>
      <c r="C786" s="185"/>
      <c r="D786" s="185"/>
      <c r="E786" s="191"/>
      <c r="F786" s="185"/>
      <c r="G786" s="185"/>
      <c r="H786" s="185"/>
      <c r="I786" s="185"/>
      <c r="J786" s="185"/>
    </row>
    <row r="787" spans="1:10">
      <c r="A787" s="185"/>
      <c r="B787" s="185"/>
      <c r="C787" s="185"/>
      <c r="D787" s="185"/>
      <c r="E787" s="191"/>
      <c r="F787" s="185"/>
      <c r="G787" s="185"/>
      <c r="H787" s="185"/>
      <c r="I787" s="185"/>
      <c r="J787" s="185"/>
    </row>
    <row r="788" spans="1:10">
      <c r="A788" s="185"/>
      <c r="B788" s="185"/>
      <c r="C788" s="185"/>
      <c r="D788" s="185"/>
      <c r="E788" s="191"/>
      <c r="F788" s="185"/>
      <c r="G788" s="185"/>
      <c r="H788" s="185"/>
      <c r="I788" s="185"/>
      <c r="J788" s="185"/>
    </row>
    <row r="789" spans="1:10">
      <c r="A789" s="185"/>
      <c r="B789" s="185"/>
      <c r="C789" s="185"/>
      <c r="D789" s="185"/>
      <c r="E789" s="191"/>
      <c r="F789" s="185"/>
      <c r="G789" s="185"/>
      <c r="H789" s="185"/>
      <c r="I789" s="185"/>
      <c r="J789" s="185"/>
    </row>
    <row r="790" spans="1:10">
      <c r="A790" s="185"/>
      <c r="B790" s="185"/>
      <c r="C790" s="185"/>
      <c r="D790" s="185"/>
      <c r="E790" s="191"/>
      <c r="F790" s="185"/>
      <c r="G790" s="185"/>
      <c r="H790" s="185"/>
      <c r="I790" s="185"/>
      <c r="J790" s="185"/>
    </row>
    <row r="791" spans="1:10">
      <c r="A791" s="185"/>
      <c r="B791" s="185"/>
      <c r="C791" s="185"/>
      <c r="D791" s="185"/>
      <c r="E791" s="191"/>
      <c r="F791" s="185"/>
      <c r="G791" s="185"/>
      <c r="H791" s="185"/>
      <c r="I791" s="185"/>
      <c r="J791" s="185"/>
    </row>
    <row r="792" spans="1:10">
      <c r="A792" s="185"/>
      <c r="B792" s="185"/>
      <c r="C792" s="185"/>
      <c r="D792" s="185"/>
      <c r="E792" s="191"/>
      <c r="F792" s="185"/>
      <c r="G792" s="185"/>
      <c r="H792" s="185"/>
      <c r="I792" s="185"/>
      <c r="J792" s="185"/>
    </row>
    <row r="793" spans="1:10">
      <c r="A793" s="185"/>
      <c r="B793" s="185"/>
      <c r="C793" s="185"/>
      <c r="D793" s="185"/>
      <c r="E793" s="191"/>
      <c r="F793" s="185"/>
      <c r="G793" s="185"/>
      <c r="H793" s="185"/>
      <c r="I793" s="185"/>
      <c r="J793" s="185"/>
    </row>
    <row r="794" spans="1:10">
      <c r="A794" s="185"/>
      <c r="B794" s="185"/>
      <c r="C794" s="185"/>
      <c r="D794" s="185"/>
      <c r="E794" s="191"/>
      <c r="F794" s="185"/>
      <c r="G794" s="185"/>
      <c r="H794" s="185"/>
      <c r="I794" s="185"/>
      <c r="J794" s="185"/>
    </row>
    <row r="795" spans="1:10">
      <c r="A795" s="185"/>
      <c r="B795" s="185"/>
      <c r="C795" s="185"/>
      <c r="D795" s="185"/>
      <c r="E795" s="191"/>
      <c r="F795" s="185"/>
      <c r="G795" s="185"/>
      <c r="H795" s="185"/>
      <c r="I795" s="185"/>
      <c r="J795" s="185"/>
    </row>
    <row r="796" spans="1:10">
      <c r="A796" s="185"/>
      <c r="B796" s="185"/>
      <c r="C796" s="185"/>
      <c r="D796" s="185"/>
      <c r="E796" s="191"/>
      <c r="F796" s="185"/>
      <c r="G796" s="185"/>
      <c r="H796" s="185"/>
      <c r="I796" s="185"/>
      <c r="J796" s="185"/>
    </row>
    <row r="797" spans="1:10">
      <c r="A797" s="185"/>
      <c r="B797" s="185"/>
      <c r="C797" s="185"/>
      <c r="D797" s="185"/>
      <c r="E797" s="191"/>
      <c r="F797" s="185"/>
      <c r="G797" s="185"/>
      <c r="H797" s="185"/>
      <c r="I797" s="185"/>
      <c r="J797" s="185"/>
    </row>
    <row r="798" spans="1:10">
      <c r="A798" s="185"/>
      <c r="B798" s="185"/>
      <c r="C798" s="185"/>
      <c r="D798" s="185"/>
      <c r="E798" s="191"/>
      <c r="F798" s="185"/>
      <c r="G798" s="185"/>
      <c r="H798" s="185"/>
      <c r="I798" s="185"/>
      <c r="J798" s="185"/>
    </row>
    <row r="799" spans="1:10">
      <c r="A799" s="185"/>
      <c r="B799" s="185"/>
      <c r="C799" s="185"/>
      <c r="D799" s="185"/>
      <c r="E799" s="191"/>
      <c r="F799" s="185"/>
      <c r="G799" s="185"/>
      <c r="H799" s="185"/>
      <c r="I799" s="185"/>
      <c r="J799" s="185"/>
    </row>
    <row r="800" spans="1:10">
      <c r="A800" s="185"/>
      <c r="B800" s="185"/>
      <c r="C800" s="185"/>
      <c r="D800" s="185"/>
      <c r="E800" s="191"/>
      <c r="F800" s="185"/>
      <c r="G800" s="185"/>
      <c r="H800" s="185"/>
      <c r="I800" s="185"/>
      <c r="J800" s="185"/>
    </row>
    <row r="801" spans="1:10">
      <c r="A801" s="185"/>
      <c r="B801" s="185"/>
      <c r="C801" s="185"/>
      <c r="D801" s="185"/>
      <c r="E801" s="191"/>
      <c r="F801" s="185"/>
      <c r="G801" s="185"/>
      <c r="H801" s="185"/>
      <c r="I801" s="185"/>
      <c r="J801" s="185"/>
    </row>
    <row r="802" spans="1:10">
      <c r="A802" s="185"/>
      <c r="B802" s="185"/>
      <c r="C802" s="185"/>
      <c r="D802" s="185"/>
      <c r="E802" s="191"/>
      <c r="F802" s="185"/>
      <c r="G802" s="185"/>
      <c r="H802" s="185"/>
      <c r="I802" s="185"/>
      <c r="J802" s="185"/>
    </row>
    <row r="803" spans="1:10">
      <c r="A803" s="185"/>
      <c r="B803" s="185"/>
      <c r="C803" s="185"/>
      <c r="D803" s="185"/>
      <c r="E803" s="191"/>
      <c r="F803" s="185"/>
      <c r="G803" s="185"/>
      <c r="H803" s="185"/>
      <c r="I803" s="185"/>
      <c r="J803" s="185"/>
    </row>
    <row r="804" spans="1:10">
      <c r="A804" s="185"/>
      <c r="B804" s="185"/>
      <c r="C804" s="185"/>
      <c r="D804" s="185"/>
      <c r="E804" s="191"/>
      <c r="F804" s="185"/>
      <c r="G804" s="185"/>
      <c r="H804" s="185"/>
      <c r="I804" s="185"/>
      <c r="J804" s="185"/>
    </row>
    <row r="805" spans="1:10">
      <c r="A805" s="185"/>
      <c r="B805" s="185"/>
      <c r="C805" s="185"/>
      <c r="D805" s="185"/>
      <c r="E805" s="191"/>
      <c r="F805" s="185"/>
      <c r="G805" s="185"/>
      <c r="H805" s="185"/>
      <c r="I805" s="185"/>
      <c r="J805" s="185"/>
    </row>
    <row r="806" spans="1:10">
      <c r="A806" s="185"/>
      <c r="B806" s="185"/>
      <c r="C806" s="185"/>
      <c r="D806" s="185"/>
      <c r="E806" s="191"/>
      <c r="F806" s="185"/>
      <c r="G806" s="185"/>
      <c r="H806" s="185"/>
      <c r="I806" s="185"/>
      <c r="J806" s="185"/>
    </row>
    <row r="807" spans="1:10">
      <c r="A807" s="185"/>
      <c r="B807" s="185"/>
      <c r="C807" s="185"/>
      <c r="D807" s="185"/>
      <c r="E807" s="191"/>
      <c r="F807" s="185"/>
      <c r="G807" s="185"/>
      <c r="H807" s="185"/>
      <c r="I807" s="185"/>
      <c r="J807" s="185"/>
    </row>
    <row r="808" spans="1:10">
      <c r="A808" s="185"/>
      <c r="B808" s="185"/>
      <c r="C808" s="185"/>
      <c r="D808" s="185"/>
      <c r="E808" s="191"/>
      <c r="F808" s="185"/>
      <c r="G808" s="185"/>
      <c r="H808" s="185"/>
      <c r="I808" s="185"/>
      <c r="J808" s="185"/>
    </row>
    <row r="809" spans="1:10">
      <c r="A809" s="185"/>
      <c r="B809" s="185"/>
      <c r="C809" s="185"/>
      <c r="D809" s="185"/>
      <c r="E809" s="191"/>
      <c r="F809" s="185"/>
      <c r="G809" s="185"/>
      <c r="H809" s="185"/>
      <c r="I809" s="185"/>
      <c r="J809" s="185"/>
    </row>
    <row r="810" spans="1:10">
      <c r="A810" s="185"/>
      <c r="B810" s="185"/>
      <c r="C810" s="185"/>
      <c r="D810" s="185"/>
      <c r="E810" s="191"/>
      <c r="F810" s="185"/>
      <c r="G810" s="185"/>
      <c r="H810" s="185"/>
      <c r="I810" s="185"/>
      <c r="J810" s="185"/>
    </row>
    <row r="811" spans="1:10">
      <c r="A811" s="185"/>
      <c r="B811" s="185"/>
      <c r="C811" s="185"/>
      <c r="D811" s="185"/>
      <c r="E811" s="191"/>
      <c r="F811" s="185"/>
      <c r="G811" s="185"/>
      <c r="H811" s="185"/>
      <c r="I811" s="185"/>
      <c r="J811" s="185"/>
    </row>
    <row r="812" spans="1:10">
      <c r="A812" s="185"/>
      <c r="B812" s="185"/>
      <c r="C812" s="185"/>
      <c r="D812" s="185"/>
      <c r="E812" s="191"/>
      <c r="F812" s="185"/>
      <c r="G812" s="185"/>
      <c r="H812" s="185"/>
      <c r="I812" s="185"/>
      <c r="J812" s="185"/>
    </row>
    <row r="813" spans="1:10">
      <c r="A813" s="185"/>
      <c r="B813" s="185"/>
      <c r="C813" s="185"/>
      <c r="D813" s="185"/>
      <c r="E813" s="191"/>
      <c r="F813" s="185"/>
      <c r="G813" s="185"/>
      <c r="H813" s="185"/>
      <c r="I813" s="185"/>
      <c r="J813" s="185"/>
    </row>
    <row r="814" spans="1:10">
      <c r="A814" s="185"/>
      <c r="B814" s="185"/>
      <c r="C814" s="185"/>
      <c r="D814" s="185"/>
      <c r="E814" s="191"/>
      <c r="F814" s="185"/>
      <c r="G814" s="185"/>
      <c r="H814" s="185"/>
      <c r="I814" s="185"/>
      <c r="J814" s="185"/>
    </row>
    <row r="815" spans="1:10">
      <c r="A815" s="185"/>
      <c r="B815" s="185"/>
      <c r="C815" s="185"/>
      <c r="D815" s="185"/>
      <c r="E815" s="191"/>
      <c r="F815" s="185"/>
      <c r="G815" s="185"/>
      <c r="H815" s="185"/>
      <c r="I815" s="185"/>
      <c r="J815" s="185"/>
    </row>
    <row r="816" spans="1:10">
      <c r="A816" s="185"/>
      <c r="B816" s="185"/>
      <c r="C816" s="185"/>
      <c r="D816" s="185"/>
      <c r="E816" s="191"/>
      <c r="F816" s="185"/>
      <c r="G816" s="185"/>
      <c r="H816" s="185"/>
      <c r="I816" s="185"/>
      <c r="J816" s="185"/>
    </row>
    <row r="817" spans="1:10">
      <c r="A817" s="185"/>
      <c r="B817" s="185"/>
      <c r="C817" s="185"/>
      <c r="D817" s="185"/>
      <c r="E817" s="191"/>
      <c r="F817" s="185"/>
      <c r="G817" s="185"/>
      <c r="H817" s="185"/>
      <c r="I817" s="185"/>
      <c r="J817" s="185"/>
    </row>
    <row r="818" spans="1:10">
      <c r="A818" s="185"/>
      <c r="B818" s="185"/>
      <c r="C818" s="185"/>
      <c r="D818" s="185"/>
      <c r="E818" s="191"/>
      <c r="F818" s="185"/>
      <c r="G818" s="185"/>
      <c r="H818" s="185"/>
      <c r="I818" s="185"/>
      <c r="J818" s="185"/>
    </row>
    <row r="819" spans="1:10">
      <c r="A819" s="185"/>
      <c r="B819" s="185"/>
      <c r="C819" s="185"/>
      <c r="D819" s="185"/>
      <c r="E819" s="191"/>
      <c r="F819" s="185"/>
      <c r="G819" s="185"/>
      <c r="H819" s="185"/>
      <c r="I819" s="185"/>
      <c r="J819" s="185"/>
    </row>
    <row r="820" spans="1:10">
      <c r="A820" s="185"/>
      <c r="B820" s="185"/>
      <c r="C820" s="185"/>
      <c r="D820" s="185"/>
      <c r="E820" s="191"/>
      <c r="F820" s="185"/>
      <c r="G820" s="185"/>
      <c r="H820" s="185"/>
      <c r="I820" s="185"/>
      <c r="J820" s="185"/>
    </row>
    <row r="821" spans="1:10">
      <c r="A821" s="185"/>
      <c r="B821" s="185"/>
      <c r="C821" s="185"/>
      <c r="D821" s="185"/>
      <c r="E821" s="191"/>
      <c r="F821" s="185"/>
      <c r="G821" s="185"/>
      <c r="H821" s="185"/>
      <c r="I821" s="185"/>
      <c r="J821" s="185"/>
    </row>
    <row r="822" spans="1:10">
      <c r="A822" s="185"/>
      <c r="B822" s="185"/>
      <c r="C822" s="185"/>
      <c r="D822" s="185"/>
      <c r="E822" s="191"/>
      <c r="F822" s="185"/>
      <c r="G822" s="185"/>
      <c r="H822" s="185"/>
      <c r="I822" s="185"/>
      <c r="J822" s="185"/>
    </row>
    <row r="823" spans="1:10">
      <c r="A823" s="185"/>
      <c r="B823" s="185"/>
      <c r="C823" s="185"/>
      <c r="D823" s="185"/>
      <c r="E823" s="191"/>
      <c r="F823" s="185"/>
      <c r="G823" s="185"/>
      <c r="H823" s="185"/>
      <c r="I823" s="185"/>
      <c r="J823" s="185"/>
    </row>
    <row r="824" spans="1:10">
      <c r="A824" s="185"/>
      <c r="B824" s="185"/>
      <c r="C824" s="185"/>
      <c r="D824" s="185"/>
      <c r="E824" s="191"/>
      <c r="F824" s="185"/>
      <c r="G824" s="185"/>
      <c r="H824" s="185"/>
      <c r="I824" s="185"/>
      <c r="J824" s="185"/>
    </row>
    <row r="825" spans="1:10">
      <c r="A825" s="185"/>
      <c r="B825" s="185"/>
      <c r="C825" s="185"/>
      <c r="D825" s="185"/>
      <c r="E825" s="191"/>
      <c r="F825" s="185"/>
      <c r="G825" s="185"/>
      <c r="H825" s="185"/>
      <c r="I825" s="185"/>
      <c r="J825" s="185"/>
    </row>
    <row r="826" spans="1:10">
      <c r="A826" s="185"/>
      <c r="B826" s="185"/>
      <c r="C826" s="185"/>
      <c r="D826" s="185"/>
      <c r="E826" s="191"/>
      <c r="F826" s="185"/>
      <c r="G826" s="185"/>
      <c r="H826" s="185"/>
      <c r="I826" s="185"/>
      <c r="J826" s="185"/>
    </row>
    <row r="827" spans="1:10">
      <c r="A827" s="185"/>
      <c r="B827" s="185"/>
      <c r="C827" s="185"/>
      <c r="D827" s="185"/>
      <c r="E827" s="191"/>
      <c r="F827" s="185"/>
      <c r="G827" s="185"/>
      <c r="H827" s="185"/>
      <c r="I827" s="185"/>
      <c r="J827" s="185"/>
    </row>
    <row r="828" spans="1:10">
      <c r="A828" s="185"/>
      <c r="B828" s="185"/>
      <c r="C828" s="185"/>
      <c r="D828" s="185"/>
      <c r="E828" s="191"/>
      <c r="F828" s="185"/>
      <c r="G828" s="185"/>
      <c r="H828" s="185"/>
      <c r="I828" s="185"/>
      <c r="J828" s="185"/>
    </row>
    <row r="829" spans="1:10">
      <c r="A829" s="185"/>
      <c r="B829" s="185"/>
      <c r="C829" s="185"/>
      <c r="D829" s="185"/>
      <c r="E829" s="191"/>
      <c r="F829" s="185"/>
      <c r="G829" s="185"/>
      <c r="H829" s="185"/>
      <c r="I829" s="185"/>
      <c r="J829" s="185"/>
    </row>
    <row r="830" spans="1:10">
      <c r="A830" s="185"/>
      <c r="B830" s="185"/>
      <c r="C830" s="185"/>
      <c r="D830" s="185"/>
      <c r="E830" s="191"/>
      <c r="F830" s="185"/>
      <c r="G830" s="185"/>
      <c r="H830" s="185"/>
      <c r="I830" s="185"/>
      <c r="J830" s="185"/>
    </row>
    <row r="831" spans="1:10">
      <c r="A831" s="185"/>
      <c r="B831" s="185"/>
      <c r="C831" s="185"/>
      <c r="D831" s="185"/>
      <c r="E831" s="191"/>
      <c r="F831" s="185"/>
      <c r="G831" s="185"/>
      <c r="H831" s="185"/>
      <c r="I831" s="185"/>
      <c r="J831" s="185"/>
    </row>
    <row r="832" spans="1:10">
      <c r="A832" s="185"/>
      <c r="B832" s="185"/>
      <c r="C832" s="185"/>
      <c r="D832" s="185"/>
      <c r="E832" s="191"/>
      <c r="F832" s="185"/>
      <c r="G832" s="185"/>
      <c r="H832" s="185"/>
      <c r="I832" s="185"/>
      <c r="J832" s="185"/>
    </row>
    <row r="833" spans="1:10">
      <c r="A833" s="185"/>
      <c r="B833" s="185"/>
      <c r="C833" s="185"/>
      <c r="D833" s="185"/>
      <c r="E833" s="191"/>
      <c r="F833" s="185"/>
      <c r="G833" s="185"/>
      <c r="H833" s="185"/>
      <c r="I833" s="185"/>
      <c r="J833" s="185"/>
    </row>
    <row r="834" spans="1:10">
      <c r="A834" s="185"/>
      <c r="B834" s="185"/>
      <c r="C834" s="185"/>
      <c r="D834" s="185"/>
      <c r="E834" s="191"/>
      <c r="F834" s="185"/>
      <c r="G834" s="185"/>
      <c r="H834" s="185"/>
      <c r="I834" s="185"/>
      <c r="J834" s="185"/>
    </row>
    <row r="835" spans="1:10">
      <c r="A835" s="185"/>
      <c r="B835" s="185"/>
      <c r="C835" s="185"/>
      <c r="D835" s="185"/>
      <c r="E835" s="191"/>
      <c r="F835" s="185"/>
      <c r="G835" s="185"/>
      <c r="H835" s="185"/>
      <c r="I835" s="185"/>
      <c r="J835" s="185"/>
    </row>
    <row r="836" spans="1:10">
      <c r="A836" s="185"/>
      <c r="B836" s="185"/>
      <c r="C836" s="185"/>
      <c r="D836" s="185"/>
      <c r="E836" s="191"/>
      <c r="F836" s="185"/>
      <c r="G836" s="185"/>
      <c r="H836" s="185"/>
      <c r="I836" s="185"/>
      <c r="J836" s="185"/>
    </row>
    <row r="837" spans="1:10">
      <c r="A837" s="185"/>
      <c r="B837" s="185"/>
      <c r="C837" s="185"/>
      <c r="D837" s="185"/>
      <c r="E837" s="191"/>
      <c r="F837" s="185"/>
      <c r="G837" s="185"/>
      <c r="H837" s="185"/>
      <c r="I837" s="185"/>
      <c r="J837" s="185"/>
    </row>
    <row r="838" spans="1:10">
      <c r="A838" s="185"/>
      <c r="B838" s="185"/>
      <c r="C838" s="185"/>
      <c r="D838" s="185"/>
      <c r="E838" s="191"/>
      <c r="F838" s="185"/>
      <c r="G838" s="185"/>
      <c r="H838" s="185"/>
      <c r="I838" s="185"/>
      <c r="J838" s="185"/>
    </row>
    <row r="839" spans="1:10">
      <c r="A839" s="185"/>
      <c r="B839" s="185"/>
      <c r="C839" s="185"/>
      <c r="D839" s="185"/>
      <c r="E839" s="191"/>
      <c r="F839" s="185"/>
      <c r="G839" s="185"/>
      <c r="H839" s="185"/>
      <c r="I839" s="185"/>
      <c r="J839" s="185"/>
    </row>
    <row r="840" spans="1:10">
      <c r="A840" s="185"/>
      <c r="B840" s="185"/>
      <c r="C840" s="185"/>
      <c r="D840" s="185"/>
      <c r="E840" s="191"/>
      <c r="F840" s="185"/>
      <c r="G840" s="185"/>
      <c r="H840" s="185"/>
      <c r="I840" s="185"/>
      <c r="J840" s="185"/>
    </row>
    <row r="841" spans="1:10">
      <c r="A841" s="185"/>
      <c r="B841" s="185"/>
      <c r="C841" s="185"/>
      <c r="D841" s="185"/>
      <c r="E841" s="191"/>
      <c r="F841" s="185"/>
      <c r="G841" s="185"/>
      <c r="H841" s="185"/>
      <c r="I841" s="185"/>
      <c r="J841" s="185"/>
    </row>
    <row r="842" spans="1:10">
      <c r="A842" s="185"/>
      <c r="B842" s="185"/>
      <c r="C842" s="185"/>
      <c r="D842" s="185"/>
      <c r="E842" s="191"/>
      <c r="F842" s="185"/>
      <c r="G842" s="185"/>
      <c r="H842" s="185"/>
      <c r="I842" s="185"/>
      <c r="J842" s="185"/>
    </row>
    <row r="843" spans="1:10">
      <c r="A843" s="185"/>
      <c r="B843" s="185"/>
      <c r="C843" s="185"/>
      <c r="D843" s="185"/>
      <c r="E843" s="191"/>
      <c r="F843" s="185"/>
      <c r="G843" s="185"/>
      <c r="H843" s="185"/>
      <c r="I843" s="185"/>
      <c r="J843" s="185"/>
    </row>
    <row r="844" spans="1:10">
      <c r="A844" s="185"/>
      <c r="B844" s="185"/>
      <c r="C844" s="185"/>
      <c r="D844" s="185"/>
      <c r="E844" s="191"/>
      <c r="F844" s="185"/>
      <c r="G844" s="185"/>
      <c r="H844" s="185"/>
      <c r="I844" s="185"/>
      <c r="J844" s="185"/>
    </row>
    <row r="845" spans="1:10">
      <c r="A845" s="185"/>
      <c r="B845" s="185"/>
      <c r="C845" s="185"/>
      <c r="D845" s="185"/>
      <c r="E845" s="191"/>
      <c r="F845" s="185"/>
      <c r="G845" s="185"/>
      <c r="H845" s="185"/>
      <c r="I845" s="185"/>
      <c r="J845" s="185"/>
    </row>
    <row r="846" spans="1:10">
      <c r="A846" s="185"/>
      <c r="B846" s="185"/>
      <c r="C846" s="185"/>
      <c r="D846" s="185"/>
      <c r="E846" s="191"/>
      <c r="F846" s="185"/>
      <c r="G846" s="185"/>
      <c r="H846" s="185"/>
      <c r="I846" s="185"/>
      <c r="J846" s="185"/>
    </row>
    <row r="847" spans="1:10">
      <c r="A847" s="185"/>
      <c r="B847" s="185"/>
      <c r="C847" s="185"/>
      <c r="D847" s="185"/>
      <c r="E847" s="191"/>
      <c r="F847" s="185"/>
      <c r="G847" s="185"/>
      <c r="H847" s="185"/>
      <c r="I847" s="185"/>
      <c r="J847" s="185"/>
    </row>
    <row r="848" spans="1:10">
      <c r="A848" s="185"/>
      <c r="B848" s="185"/>
      <c r="C848" s="185"/>
      <c r="D848" s="185"/>
      <c r="E848" s="191"/>
      <c r="F848" s="185"/>
      <c r="G848" s="185"/>
      <c r="H848" s="185"/>
      <c r="I848" s="185"/>
      <c r="J848" s="185"/>
    </row>
    <row r="849" spans="1:10">
      <c r="A849" s="185"/>
      <c r="B849" s="185"/>
      <c r="C849" s="185"/>
      <c r="D849" s="185"/>
      <c r="E849" s="191"/>
      <c r="F849" s="185"/>
      <c r="G849" s="185"/>
      <c r="H849" s="185"/>
      <c r="I849" s="185"/>
      <c r="J849" s="185"/>
    </row>
    <row r="850" spans="1:10">
      <c r="A850" s="185"/>
      <c r="B850" s="185"/>
      <c r="C850" s="185"/>
      <c r="D850" s="185"/>
      <c r="E850" s="191"/>
      <c r="F850" s="185"/>
      <c r="G850" s="185"/>
      <c r="H850" s="185"/>
      <c r="I850" s="185"/>
      <c r="J850" s="185"/>
    </row>
    <row r="851" spans="1:10">
      <c r="A851" s="185"/>
      <c r="B851" s="185"/>
      <c r="C851" s="185"/>
      <c r="D851" s="185"/>
      <c r="E851" s="191"/>
      <c r="F851" s="185"/>
      <c r="G851" s="185"/>
      <c r="H851" s="185"/>
      <c r="I851" s="185"/>
      <c r="J851" s="185"/>
    </row>
    <row r="852" spans="1:10">
      <c r="A852" s="185"/>
      <c r="B852" s="185"/>
      <c r="C852" s="185"/>
      <c r="D852" s="185"/>
      <c r="E852" s="191"/>
      <c r="F852" s="185"/>
      <c r="G852" s="185"/>
      <c r="H852" s="185"/>
      <c r="I852" s="185"/>
      <c r="J852" s="185"/>
    </row>
    <row r="853" spans="1:10">
      <c r="A853" s="185"/>
      <c r="B853" s="185"/>
      <c r="C853" s="185"/>
      <c r="D853" s="185"/>
      <c r="E853" s="191"/>
      <c r="F853" s="185"/>
      <c r="G853" s="185"/>
      <c r="H853" s="185"/>
      <c r="I853" s="185"/>
      <c r="J853" s="185"/>
    </row>
    <row r="854" spans="1:10">
      <c r="A854" s="185"/>
      <c r="B854" s="185"/>
      <c r="C854" s="185"/>
      <c r="D854" s="185"/>
      <c r="E854" s="191"/>
      <c r="F854" s="185"/>
      <c r="G854" s="185"/>
      <c r="H854" s="185"/>
      <c r="I854" s="185"/>
      <c r="J854" s="185"/>
    </row>
    <row r="855" spans="1:10">
      <c r="A855" s="185"/>
      <c r="B855" s="185"/>
      <c r="C855" s="185"/>
      <c r="D855" s="185"/>
      <c r="E855" s="191"/>
      <c r="F855" s="185"/>
      <c r="G855" s="185"/>
      <c r="H855" s="185"/>
      <c r="I855" s="185"/>
      <c r="J855" s="185"/>
    </row>
    <row r="856" spans="1:10">
      <c r="A856" s="185"/>
      <c r="B856" s="185"/>
      <c r="C856" s="185"/>
      <c r="D856" s="185"/>
      <c r="E856" s="191"/>
      <c r="F856" s="185"/>
      <c r="G856" s="185"/>
      <c r="H856" s="185"/>
      <c r="I856" s="185"/>
      <c r="J856" s="185"/>
    </row>
    <row r="857" spans="1:10">
      <c r="A857" s="185"/>
      <c r="B857" s="185"/>
      <c r="C857" s="185"/>
      <c r="D857" s="185"/>
      <c r="E857" s="191"/>
      <c r="F857" s="185"/>
      <c r="G857" s="185"/>
      <c r="H857" s="185"/>
      <c r="I857" s="185"/>
      <c r="J857" s="185"/>
    </row>
    <row r="858" spans="1:10">
      <c r="A858" s="185"/>
      <c r="B858" s="185"/>
      <c r="C858" s="185"/>
      <c r="D858" s="185"/>
      <c r="E858" s="191"/>
      <c r="F858" s="185"/>
      <c r="G858" s="185"/>
      <c r="H858" s="185"/>
      <c r="I858" s="185"/>
      <c r="J858" s="185"/>
    </row>
    <row r="859" spans="1:10">
      <c r="A859" s="185"/>
      <c r="B859" s="185"/>
      <c r="C859" s="185"/>
      <c r="D859" s="185"/>
      <c r="E859" s="191"/>
      <c r="F859" s="185"/>
      <c r="G859" s="185"/>
      <c r="H859" s="185"/>
      <c r="I859" s="185"/>
      <c r="J859" s="185"/>
    </row>
    <row r="860" spans="1:10">
      <c r="A860" s="185"/>
      <c r="B860" s="185"/>
      <c r="C860" s="185"/>
      <c r="D860" s="185"/>
      <c r="E860" s="191"/>
      <c r="F860" s="185"/>
      <c r="G860" s="185"/>
      <c r="H860" s="185"/>
      <c r="I860" s="185"/>
      <c r="J860" s="185"/>
    </row>
    <row r="861" spans="1:10">
      <c r="A861" s="185"/>
      <c r="B861" s="185"/>
      <c r="C861" s="185"/>
      <c r="D861" s="185"/>
      <c r="E861" s="191"/>
      <c r="F861" s="185"/>
      <c r="G861" s="185"/>
      <c r="H861" s="185"/>
      <c r="I861" s="185"/>
      <c r="J861" s="185"/>
    </row>
    <row r="862" spans="1:10">
      <c r="A862" s="185"/>
      <c r="B862" s="185"/>
      <c r="C862" s="185"/>
      <c r="D862" s="185"/>
      <c r="E862" s="191"/>
      <c r="F862" s="185"/>
      <c r="G862" s="185"/>
      <c r="H862" s="185"/>
      <c r="I862" s="185"/>
      <c r="J862" s="185"/>
    </row>
    <row r="863" spans="1:10">
      <c r="A863" s="185"/>
      <c r="B863" s="185"/>
      <c r="C863" s="185"/>
      <c r="D863" s="185"/>
      <c r="E863" s="191"/>
      <c r="F863" s="185"/>
      <c r="G863" s="185"/>
      <c r="H863" s="185"/>
      <c r="I863" s="185"/>
      <c r="J863" s="185"/>
    </row>
    <row r="864" spans="1:10">
      <c r="A864" s="185"/>
      <c r="B864" s="185"/>
      <c r="C864" s="185"/>
      <c r="D864" s="185"/>
      <c r="E864" s="191"/>
      <c r="F864" s="185"/>
      <c r="G864" s="185"/>
      <c r="H864" s="185"/>
      <c r="I864" s="185"/>
      <c r="J864" s="185"/>
    </row>
    <row r="865" spans="1:10">
      <c r="A865" s="185"/>
      <c r="B865" s="185"/>
      <c r="C865" s="185"/>
      <c r="D865" s="185"/>
      <c r="E865" s="191"/>
      <c r="F865" s="185"/>
      <c r="G865" s="185"/>
      <c r="H865" s="185"/>
      <c r="I865" s="185"/>
      <c r="J865" s="185"/>
    </row>
    <row r="866" spans="1:10">
      <c r="A866" s="185"/>
      <c r="B866" s="185"/>
      <c r="C866" s="185"/>
      <c r="D866" s="185"/>
      <c r="E866" s="191"/>
      <c r="F866" s="185"/>
      <c r="G866" s="185"/>
      <c r="H866" s="185"/>
      <c r="I866" s="185"/>
      <c r="J866" s="185"/>
    </row>
    <row r="867" spans="1:10">
      <c r="A867" s="185"/>
      <c r="B867" s="185"/>
      <c r="C867" s="185"/>
      <c r="D867" s="185"/>
      <c r="E867" s="191"/>
      <c r="F867" s="185"/>
      <c r="G867" s="185"/>
      <c r="H867" s="185"/>
      <c r="I867" s="185"/>
      <c r="J867" s="185"/>
    </row>
    <row r="868" spans="1:10">
      <c r="A868" s="185"/>
      <c r="B868" s="185"/>
      <c r="C868" s="185"/>
      <c r="D868" s="185"/>
      <c r="E868" s="191"/>
      <c r="F868" s="185"/>
      <c r="G868" s="185"/>
      <c r="H868" s="185"/>
      <c r="I868" s="185"/>
      <c r="J868" s="185"/>
    </row>
    <row r="869" spans="1:10">
      <c r="A869" s="185"/>
      <c r="B869" s="185"/>
      <c r="C869" s="185"/>
      <c r="D869" s="185"/>
      <c r="E869" s="191"/>
      <c r="F869" s="185"/>
      <c r="G869" s="185"/>
      <c r="H869" s="185"/>
      <c r="I869" s="185"/>
      <c r="J869" s="185"/>
    </row>
    <row r="870" spans="1:10">
      <c r="A870" s="185"/>
      <c r="B870" s="185"/>
      <c r="C870" s="185"/>
      <c r="D870" s="185"/>
      <c r="E870" s="191"/>
      <c r="F870" s="185"/>
      <c r="G870" s="185"/>
      <c r="H870" s="185"/>
      <c r="I870" s="185"/>
      <c r="J870" s="185"/>
    </row>
    <row r="871" spans="1:10">
      <c r="A871" s="185"/>
      <c r="B871" s="185"/>
      <c r="C871" s="185"/>
      <c r="D871" s="185"/>
      <c r="E871" s="191"/>
      <c r="F871" s="185"/>
      <c r="G871" s="185"/>
      <c r="H871" s="185"/>
      <c r="I871" s="185"/>
      <c r="J871" s="185"/>
    </row>
    <row r="872" spans="1:10">
      <c r="A872" s="185"/>
      <c r="B872" s="185"/>
      <c r="C872" s="185"/>
      <c r="D872" s="185"/>
      <c r="E872" s="191"/>
      <c r="F872" s="185"/>
      <c r="G872" s="185"/>
      <c r="H872" s="185"/>
      <c r="I872" s="185"/>
      <c r="J872" s="185"/>
    </row>
    <row r="873" spans="1:10">
      <c r="A873" s="185"/>
      <c r="B873" s="185"/>
      <c r="C873" s="185"/>
      <c r="D873" s="185"/>
      <c r="E873" s="191"/>
      <c r="F873" s="185"/>
      <c r="G873" s="185"/>
      <c r="H873" s="185"/>
      <c r="I873" s="185"/>
      <c r="J873" s="185"/>
    </row>
    <row r="874" spans="1:10">
      <c r="A874" s="185"/>
      <c r="B874" s="185"/>
      <c r="C874" s="185"/>
      <c r="D874" s="185"/>
      <c r="E874" s="191"/>
      <c r="F874" s="185"/>
      <c r="G874" s="185"/>
      <c r="H874" s="185"/>
      <c r="I874" s="185"/>
      <c r="J874" s="185"/>
    </row>
    <row r="875" spans="1:10">
      <c r="A875" s="185"/>
      <c r="B875" s="185"/>
      <c r="C875" s="185"/>
      <c r="D875" s="185"/>
      <c r="E875" s="191"/>
      <c r="F875" s="185"/>
      <c r="G875" s="185"/>
      <c r="H875" s="185"/>
      <c r="I875" s="185"/>
      <c r="J875" s="185"/>
    </row>
    <row r="876" spans="1:10">
      <c r="A876" s="185"/>
      <c r="B876" s="185"/>
      <c r="C876" s="185"/>
      <c r="D876" s="185"/>
      <c r="E876" s="191"/>
      <c r="F876" s="185"/>
      <c r="G876" s="185"/>
      <c r="H876" s="185"/>
      <c r="I876" s="185"/>
      <c r="J876" s="185"/>
    </row>
    <row r="877" spans="1:10">
      <c r="A877" s="185"/>
      <c r="B877" s="185"/>
      <c r="C877" s="185"/>
      <c r="D877" s="185"/>
      <c r="E877" s="191"/>
      <c r="F877" s="185"/>
      <c r="G877" s="185"/>
      <c r="H877" s="185"/>
      <c r="I877" s="185"/>
      <c r="J877" s="185"/>
    </row>
    <row r="878" spans="1:10">
      <c r="A878" s="185"/>
      <c r="B878" s="185"/>
      <c r="C878" s="185"/>
      <c r="D878" s="185"/>
      <c r="E878" s="191"/>
      <c r="F878" s="185"/>
      <c r="G878" s="185"/>
      <c r="H878" s="185"/>
      <c r="I878" s="185"/>
      <c r="J878" s="185"/>
    </row>
    <row r="879" spans="1:10">
      <c r="A879" s="185"/>
      <c r="B879" s="185"/>
      <c r="C879" s="185"/>
      <c r="D879" s="185"/>
      <c r="E879" s="191"/>
      <c r="F879" s="185"/>
      <c r="G879" s="185"/>
      <c r="H879" s="185"/>
      <c r="I879" s="185"/>
      <c r="J879" s="185"/>
    </row>
    <row r="880" spans="1:10">
      <c r="A880" s="185"/>
      <c r="B880" s="185"/>
      <c r="C880" s="185"/>
      <c r="D880" s="185"/>
      <c r="E880" s="191"/>
      <c r="F880" s="185"/>
      <c r="G880" s="185"/>
      <c r="H880" s="185"/>
      <c r="I880" s="185"/>
      <c r="J880" s="185"/>
    </row>
    <row r="881" spans="1:10">
      <c r="A881" s="185"/>
      <c r="B881" s="185"/>
      <c r="C881" s="185"/>
      <c r="D881" s="185"/>
      <c r="E881" s="191"/>
      <c r="F881" s="185"/>
      <c r="G881" s="185"/>
      <c r="H881" s="185"/>
      <c r="I881" s="185"/>
      <c r="J881" s="185"/>
    </row>
    <row r="882" spans="1:10">
      <c r="A882" s="185"/>
      <c r="B882" s="185"/>
      <c r="C882" s="185"/>
      <c r="D882" s="185"/>
      <c r="E882" s="191"/>
      <c r="F882" s="185"/>
      <c r="G882" s="185"/>
      <c r="H882" s="185"/>
      <c r="I882" s="185"/>
      <c r="J882" s="185"/>
    </row>
    <row r="883" spans="1:10">
      <c r="A883" s="185"/>
      <c r="B883" s="185"/>
      <c r="C883" s="185"/>
      <c r="D883" s="185"/>
      <c r="E883" s="191"/>
      <c r="F883" s="185"/>
      <c r="G883" s="185"/>
      <c r="H883" s="185"/>
      <c r="I883" s="185"/>
      <c r="J883" s="185"/>
    </row>
    <row r="884" spans="1:10">
      <c r="A884" s="185"/>
      <c r="B884" s="185"/>
      <c r="C884" s="185"/>
      <c r="D884" s="185"/>
      <c r="E884" s="191"/>
      <c r="F884" s="185"/>
      <c r="G884" s="185"/>
      <c r="H884" s="185"/>
      <c r="I884" s="185"/>
      <c r="J884" s="185"/>
    </row>
    <row r="885" spans="1:10">
      <c r="A885" s="185"/>
      <c r="B885" s="185"/>
      <c r="C885" s="185"/>
      <c r="D885" s="185"/>
      <c r="E885" s="191"/>
      <c r="F885" s="185"/>
      <c r="G885" s="185"/>
      <c r="H885" s="185"/>
      <c r="I885" s="185"/>
      <c r="J885" s="185"/>
    </row>
    <row r="886" spans="1:10">
      <c r="A886" s="185"/>
      <c r="B886" s="185"/>
      <c r="C886" s="185"/>
      <c r="D886" s="185"/>
      <c r="E886" s="191"/>
      <c r="F886" s="185"/>
      <c r="G886" s="185"/>
      <c r="H886" s="185"/>
      <c r="I886" s="185"/>
      <c r="J886" s="185"/>
    </row>
    <row r="887" spans="1:10">
      <c r="A887" s="185"/>
      <c r="B887" s="185"/>
      <c r="C887" s="185"/>
      <c r="D887" s="185"/>
      <c r="E887" s="191"/>
      <c r="F887" s="185"/>
      <c r="G887" s="185"/>
      <c r="H887" s="185"/>
      <c r="I887" s="185"/>
      <c r="J887" s="185"/>
    </row>
    <row r="888" spans="1:10">
      <c r="A888" s="185"/>
      <c r="B888" s="185"/>
      <c r="C888" s="185"/>
      <c r="D888" s="185"/>
      <c r="E888" s="191"/>
      <c r="F888" s="185"/>
      <c r="G888" s="185"/>
      <c r="H888" s="185"/>
      <c r="I888" s="185"/>
      <c r="J888" s="185"/>
    </row>
    <row r="889" spans="1:10">
      <c r="A889" s="185"/>
      <c r="B889" s="185"/>
      <c r="C889" s="185"/>
      <c r="D889" s="185"/>
      <c r="E889" s="191"/>
      <c r="F889" s="185"/>
      <c r="G889" s="185"/>
      <c r="H889" s="185"/>
      <c r="I889" s="185"/>
      <c r="J889" s="185"/>
    </row>
    <row r="890" spans="1:10">
      <c r="A890" s="185"/>
      <c r="B890" s="185"/>
      <c r="C890" s="185"/>
      <c r="D890" s="185"/>
      <c r="E890" s="191"/>
      <c r="F890" s="185"/>
      <c r="G890" s="185"/>
      <c r="H890" s="185"/>
      <c r="I890" s="185"/>
      <c r="J890" s="185"/>
    </row>
    <row r="891" spans="1:10">
      <c r="A891" s="185"/>
      <c r="B891" s="185"/>
      <c r="C891" s="185"/>
      <c r="D891" s="185"/>
      <c r="E891" s="191"/>
      <c r="F891" s="185"/>
      <c r="G891" s="185"/>
      <c r="H891" s="185"/>
      <c r="I891" s="185"/>
      <c r="J891" s="185"/>
    </row>
    <row r="892" spans="1:10">
      <c r="A892" s="185"/>
      <c r="B892" s="185"/>
      <c r="C892" s="185"/>
      <c r="D892" s="185"/>
      <c r="E892" s="191"/>
      <c r="F892" s="185"/>
      <c r="G892" s="185"/>
      <c r="H892" s="185"/>
      <c r="I892" s="185"/>
      <c r="J892" s="185"/>
    </row>
    <row r="893" spans="1:10">
      <c r="A893" s="185"/>
      <c r="B893" s="185"/>
      <c r="C893" s="185"/>
      <c r="D893" s="185"/>
      <c r="E893" s="191"/>
      <c r="F893" s="185"/>
      <c r="G893" s="185"/>
      <c r="H893" s="185"/>
      <c r="I893" s="185"/>
      <c r="J893" s="185"/>
    </row>
    <row r="894" spans="1:10">
      <c r="A894" s="185"/>
      <c r="B894" s="185"/>
      <c r="C894" s="185"/>
      <c r="D894" s="185"/>
      <c r="E894" s="191"/>
      <c r="F894" s="185"/>
      <c r="G894" s="185"/>
      <c r="H894" s="185"/>
      <c r="I894" s="185"/>
      <c r="J894" s="185"/>
    </row>
    <row r="895" spans="1:10">
      <c r="A895" s="185"/>
      <c r="B895" s="185"/>
      <c r="C895" s="185"/>
      <c r="D895" s="185"/>
      <c r="E895" s="191"/>
      <c r="F895" s="185"/>
      <c r="G895" s="185"/>
      <c r="H895" s="185"/>
      <c r="I895" s="185"/>
      <c r="J895" s="185"/>
    </row>
    <row r="896" spans="1:10">
      <c r="A896" s="185"/>
      <c r="B896" s="185"/>
      <c r="C896" s="185"/>
      <c r="D896" s="185"/>
      <c r="E896" s="191"/>
      <c r="F896" s="185"/>
      <c r="G896" s="185"/>
      <c r="H896" s="185"/>
      <c r="I896" s="185"/>
      <c r="J896" s="185"/>
    </row>
    <row r="897" spans="1:10">
      <c r="A897" s="185"/>
      <c r="B897" s="185"/>
      <c r="C897" s="185"/>
      <c r="D897" s="185"/>
      <c r="E897" s="191"/>
      <c r="F897" s="185"/>
      <c r="G897" s="185"/>
      <c r="H897" s="185"/>
      <c r="I897" s="185"/>
      <c r="J897" s="185"/>
    </row>
    <row r="898" spans="1:10">
      <c r="A898" s="185"/>
      <c r="B898" s="185"/>
      <c r="C898" s="185"/>
      <c r="D898" s="185"/>
      <c r="E898" s="191"/>
      <c r="F898" s="185"/>
      <c r="G898" s="185"/>
      <c r="H898" s="185"/>
      <c r="I898" s="185"/>
      <c r="J898" s="185"/>
    </row>
    <row r="899" spans="1:10">
      <c r="A899" s="185"/>
      <c r="B899" s="185"/>
      <c r="C899" s="185"/>
      <c r="D899" s="185"/>
      <c r="E899" s="191"/>
      <c r="F899" s="185"/>
      <c r="G899" s="185"/>
      <c r="H899" s="185"/>
      <c r="I899" s="185"/>
      <c r="J899" s="185"/>
    </row>
    <row r="900" spans="1:10">
      <c r="A900" s="185"/>
      <c r="B900" s="185"/>
      <c r="C900" s="185"/>
      <c r="D900" s="185"/>
      <c r="E900" s="191"/>
      <c r="F900" s="185"/>
      <c r="G900" s="185"/>
      <c r="H900" s="185"/>
      <c r="I900" s="185"/>
      <c r="J900" s="185"/>
    </row>
    <row r="901" spans="1:10">
      <c r="A901" s="185"/>
      <c r="B901" s="185"/>
      <c r="C901" s="185"/>
      <c r="D901" s="185"/>
      <c r="E901" s="191"/>
      <c r="F901" s="185"/>
      <c r="G901" s="185"/>
      <c r="H901" s="185"/>
      <c r="I901" s="185"/>
      <c r="J901" s="185"/>
    </row>
    <row r="902" spans="1:10">
      <c r="A902" s="185"/>
      <c r="B902" s="185"/>
      <c r="C902" s="185"/>
      <c r="D902" s="185"/>
      <c r="E902" s="191"/>
      <c r="F902" s="185"/>
      <c r="G902" s="185"/>
      <c r="H902" s="185"/>
      <c r="I902" s="185"/>
      <c r="J902" s="185"/>
    </row>
    <row r="903" spans="1:10">
      <c r="A903" s="185"/>
      <c r="B903" s="185"/>
      <c r="C903" s="185"/>
      <c r="D903" s="185"/>
      <c r="E903" s="191"/>
      <c r="F903" s="185"/>
      <c r="G903" s="185"/>
      <c r="H903" s="185"/>
      <c r="I903" s="185"/>
      <c r="J903" s="185"/>
    </row>
    <row r="904" spans="1:10">
      <c r="A904" s="185"/>
      <c r="B904" s="185"/>
      <c r="C904" s="185"/>
      <c r="D904" s="185"/>
      <c r="E904" s="191"/>
      <c r="F904" s="185"/>
      <c r="G904" s="185"/>
      <c r="H904" s="185"/>
      <c r="I904" s="185"/>
      <c r="J904" s="185"/>
    </row>
    <row r="905" spans="1:10">
      <c r="A905" s="185"/>
      <c r="B905" s="185"/>
      <c r="C905" s="185"/>
      <c r="D905" s="185"/>
      <c r="E905" s="191"/>
      <c r="F905" s="185"/>
      <c r="G905" s="185"/>
      <c r="H905" s="185"/>
      <c r="I905" s="185"/>
      <c r="J905" s="185"/>
    </row>
    <row r="906" spans="1:10">
      <c r="A906" s="185"/>
      <c r="B906" s="185"/>
      <c r="C906" s="185"/>
      <c r="D906" s="185"/>
      <c r="E906" s="191"/>
      <c r="F906" s="185"/>
      <c r="G906" s="185"/>
      <c r="H906" s="185"/>
      <c r="I906" s="185"/>
      <c r="J906" s="185"/>
    </row>
    <row r="907" spans="1:10">
      <c r="A907" s="185"/>
      <c r="B907" s="185"/>
      <c r="C907" s="185"/>
      <c r="D907" s="185"/>
      <c r="E907" s="191"/>
      <c r="F907" s="185"/>
      <c r="G907" s="185"/>
      <c r="H907" s="185"/>
      <c r="I907" s="185"/>
      <c r="J907" s="185"/>
    </row>
    <row r="908" spans="1:10">
      <c r="A908" s="185"/>
      <c r="B908" s="185"/>
      <c r="C908" s="185"/>
      <c r="D908" s="185"/>
      <c r="E908" s="191"/>
      <c r="F908" s="185"/>
      <c r="G908" s="185"/>
      <c r="H908" s="185"/>
      <c r="I908" s="185"/>
      <c r="J908" s="185"/>
    </row>
    <row r="909" spans="1:10">
      <c r="A909" s="185"/>
      <c r="B909" s="185"/>
      <c r="C909" s="185"/>
      <c r="D909" s="185"/>
      <c r="E909" s="191"/>
      <c r="F909" s="185"/>
      <c r="G909" s="185"/>
      <c r="H909" s="185"/>
      <c r="I909" s="185"/>
      <c r="J909" s="185"/>
    </row>
    <row r="910" spans="1:10">
      <c r="A910" s="185"/>
      <c r="B910" s="185"/>
      <c r="C910" s="185"/>
      <c r="D910" s="185"/>
      <c r="E910" s="191"/>
      <c r="F910" s="185"/>
      <c r="G910" s="185"/>
      <c r="H910" s="185"/>
      <c r="I910" s="185"/>
      <c r="J910" s="185"/>
    </row>
    <row r="911" spans="1:10">
      <c r="A911" s="185"/>
      <c r="B911" s="185"/>
      <c r="C911" s="185"/>
      <c r="D911" s="185"/>
      <c r="E911" s="191"/>
      <c r="F911" s="185"/>
      <c r="G911" s="185"/>
      <c r="H911" s="185"/>
      <c r="I911" s="185"/>
      <c r="J911" s="185"/>
    </row>
    <row r="912" spans="1:10">
      <c r="A912" s="185"/>
      <c r="B912" s="185"/>
      <c r="C912" s="185"/>
      <c r="D912" s="185"/>
      <c r="E912" s="191"/>
      <c r="F912" s="185"/>
      <c r="G912" s="185"/>
      <c r="H912" s="185"/>
      <c r="I912" s="185"/>
      <c r="J912" s="185"/>
    </row>
    <row r="913" spans="1:10">
      <c r="A913" s="185"/>
      <c r="B913" s="185"/>
      <c r="C913" s="185"/>
      <c r="D913" s="185"/>
      <c r="E913" s="191"/>
      <c r="F913" s="185"/>
      <c r="G913" s="185"/>
      <c r="H913" s="185"/>
      <c r="I913" s="185"/>
      <c r="J913" s="185"/>
    </row>
    <row r="914" spans="1:10">
      <c r="A914" s="185"/>
      <c r="B914" s="185"/>
      <c r="C914" s="185"/>
      <c r="D914" s="185"/>
      <c r="E914" s="191"/>
      <c r="F914" s="185"/>
      <c r="G914" s="185"/>
      <c r="H914" s="185"/>
      <c r="I914" s="185"/>
      <c r="J914" s="185"/>
    </row>
    <row r="915" spans="1:10">
      <c r="A915" s="185"/>
      <c r="B915" s="185"/>
      <c r="C915" s="185"/>
      <c r="D915" s="185"/>
      <c r="E915" s="191"/>
      <c r="F915" s="185"/>
      <c r="G915" s="185"/>
      <c r="H915" s="185"/>
      <c r="I915" s="185"/>
      <c r="J915" s="185"/>
    </row>
    <row r="916" spans="1:10">
      <c r="A916" s="185"/>
      <c r="B916" s="185"/>
      <c r="C916" s="185"/>
      <c r="D916" s="185"/>
      <c r="E916" s="191"/>
      <c r="F916" s="185"/>
      <c r="G916" s="185"/>
      <c r="H916" s="185"/>
      <c r="I916" s="185"/>
      <c r="J916" s="185"/>
    </row>
    <row r="917" spans="1:10">
      <c r="A917" s="185"/>
      <c r="B917" s="185"/>
      <c r="C917" s="185"/>
      <c r="D917" s="185"/>
      <c r="E917" s="191"/>
      <c r="F917" s="185"/>
      <c r="G917" s="185"/>
      <c r="H917" s="185"/>
      <c r="I917" s="185"/>
      <c r="J917" s="185"/>
    </row>
    <row r="918" spans="1:10">
      <c r="A918" s="185"/>
      <c r="B918" s="185"/>
      <c r="C918" s="185"/>
      <c r="D918" s="185"/>
      <c r="E918" s="191"/>
      <c r="F918" s="185"/>
      <c r="G918" s="185"/>
      <c r="H918" s="185"/>
      <c r="I918" s="185"/>
      <c r="J918" s="185"/>
    </row>
    <row r="919" spans="1:10">
      <c r="A919" s="185"/>
      <c r="B919" s="185"/>
      <c r="C919" s="185"/>
      <c r="D919" s="185"/>
      <c r="E919" s="191"/>
      <c r="F919" s="185"/>
      <c r="G919" s="185"/>
      <c r="H919" s="185"/>
      <c r="I919" s="185"/>
      <c r="J919" s="185"/>
    </row>
    <row r="920" spans="1:10">
      <c r="A920" s="185"/>
      <c r="B920" s="185"/>
      <c r="C920" s="185"/>
      <c r="D920" s="185"/>
      <c r="E920" s="191"/>
      <c r="F920" s="185"/>
      <c r="G920" s="185"/>
      <c r="H920" s="185"/>
      <c r="I920" s="185"/>
      <c r="J920" s="185"/>
    </row>
    <row r="921" spans="1:10">
      <c r="A921" s="185"/>
      <c r="B921" s="185"/>
      <c r="C921" s="185"/>
      <c r="D921" s="185"/>
      <c r="E921" s="191"/>
      <c r="F921" s="185"/>
      <c r="G921" s="185"/>
      <c r="H921" s="185"/>
      <c r="I921" s="185"/>
      <c r="J921" s="185"/>
    </row>
    <row r="922" spans="1:10">
      <c r="A922" s="185"/>
      <c r="B922" s="185"/>
      <c r="C922" s="185"/>
      <c r="D922" s="185"/>
      <c r="E922" s="191"/>
      <c r="F922" s="185"/>
      <c r="G922" s="185"/>
      <c r="H922" s="185"/>
      <c r="I922" s="185"/>
      <c r="J922" s="185"/>
    </row>
    <row r="923" spans="1:10">
      <c r="A923" s="185"/>
      <c r="B923" s="185"/>
      <c r="C923" s="185"/>
      <c r="D923" s="185"/>
      <c r="E923" s="191"/>
      <c r="F923" s="185"/>
      <c r="G923" s="185"/>
      <c r="H923" s="185"/>
      <c r="I923" s="185"/>
      <c r="J923" s="185"/>
    </row>
    <row r="924" spans="1:10">
      <c r="A924" s="185"/>
      <c r="B924" s="185"/>
      <c r="C924" s="185"/>
      <c r="D924" s="185"/>
      <c r="E924" s="191"/>
      <c r="F924" s="185"/>
      <c r="G924" s="185"/>
      <c r="H924" s="185"/>
      <c r="I924" s="185"/>
      <c r="J924" s="185"/>
    </row>
    <row r="925" spans="1:10">
      <c r="A925" s="185"/>
      <c r="B925" s="185"/>
      <c r="C925" s="185"/>
      <c r="D925" s="185"/>
      <c r="E925" s="191"/>
      <c r="F925" s="185"/>
      <c r="G925" s="185"/>
      <c r="H925" s="185"/>
      <c r="I925" s="185"/>
      <c r="J925" s="185"/>
    </row>
    <row r="926" spans="1:10">
      <c r="A926" s="185"/>
      <c r="B926" s="185"/>
      <c r="C926" s="185"/>
      <c r="D926" s="185"/>
      <c r="E926" s="191"/>
      <c r="F926" s="185"/>
      <c r="G926" s="185"/>
      <c r="H926" s="185"/>
      <c r="I926" s="185"/>
      <c r="J926" s="185"/>
    </row>
    <row r="927" spans="1:10">
      <c r="A927" s="185"/>
      <c r="B927" s="185"/>
      <c r="C927" s="185"/>
      <c r="D927" s="185"/>
      <c r="E927" s="191"/>
      <c r="F927" s="185"/>
      <c r="G927" s="185"/>
      <c r="H927" s="185"/>
      <c r="I927" s="185"/>
      <c r="J927" s="185"/>
    </row>
    <row r="928" spans="1:10">
      <c r="A928" s="185"/>
      <c r="B928" s="185"/>
      <c r="C928" s="185"/>
      <c r="D928" s="185"/>
      <c r="E928" s="191"/>
      <c r="F928" s="185"/>
      <c r="G928" s="185"/>
      <c r="H928" s="185"/>
      <c r="I928" s="185"/>
      <c r="J928" s="185"/>
    </row>
    <row r="929" spans="1:10">
      <c r="A929" s="185"/>
      <c r="B929" s="185"/>
      <c r="C929" s="185"/>
      <c r="D929" s="185"/>
      <c r="E929" s="191"/>
      <c r="F929" s="185"/>
      <c r="G929" s="185"/>
      <c r="H929" s="185"/>
      <c r="I929" s="185"/>
      <c r="J929" s="185"/>
    </row>
    <row r="930" spans="1:10">
      <c r="A930" s="185"/>
      <c r="B930" s="185"/>
      <c r="C930" s="185"/>
      <c r="D930" s="185"/>
      <c r="E930" s="191"/>
      <c r="F930" s="185"/>
      <c r="G930" s="185"/>
      <c r="H930" s="185"/>
      <c r="I930" s="185"/>
      <c r="J930" s="185"/>
    </row>
    <row r="931" spans="1:10">
      <c r="A931" s="185"/>
      <c r="B931" s="185"/>
      <c r="C931" s="185"/>
      <c r="D931" s="185"/>
      <c r="E931" s="191"/>
      <c r="F931" s="185"/>
      <c r="G931" s="185"/>
      <c r="H931" s="185"/>
      <c r="I931" s="185"/>
      <c r="J931" s="185"/>
    </row>
    <row r="932" spans="1:10">
      <c r="A932" s="185"/>
      <c r="B932" s="185"/>
      <c r="C932" s="185"/>
      <c r="D932" s="185"/>
      <c r="E932" s="191"/>
      <c r="F932" s="185"/>
      <c r="G932" s="185"/>
      <c r="H932" s="185"/>
      <c r="I932" s="185"/>
      <c r="J932" s="185"/>
    </row>
    <row r="933" spans="1:10">
      <c r="A933" s="185"/>
      <c r="B933" s="185"/>
      <c r="C933" s="185"/>
      <c r="D933" s="185"/>
      <c r="E933" s="191"/>
      <c r="F933" s="185"/>
      <c r="G933" s="185"/>
      <c r="H933" s="185"/>
      <c r="I933" s="185"/>
      <c r="J933" s="185"/>
    </row>
    <row r="934" spans="1:10">
      <c r="A934" s="185"/>
      <c r="B934" s="185"/>
      <c r="C934" s="185"/>
      <c r="D934" s="185"/>
      <c r="E934" s="191"/>
      <c r="F934" s="185"/>
      <c r="G934" s="185"/>
      <c r="H934" s="185"/>
      <c r="I934" s="185"/>
      <c r="J934" s="185"/>
    </row>
    <row r="935" spans="1:10">
      <c r="A935" s="185"/>
      <c r="B935" s="185"/>
      <c r="C935" s="185"/>
      <c r="D935" s="185"/>
      <c r="E935" s="191"/>
      <c r="F935" s="185"/>
      <c r="G935" s="185"/>
      <c r="H935" s="185"/>
      <c r="I935" s="185"/>
      <c r="J935" s="185"/>
    </row>
    <row r="936" spans="1:10">
      <c r="A936" s="185"/>
      <c r="B936" s="185"/>
      <c r="C936" s="185"/>
      <c r="D936" s="185"/>
      <c r="E936" s="191"/>
      <c r="F936" s="185"/>
      <c r="G936" s="185"/>
      <c r="H936" s="185"/>
      <c r="I936" s="185"/>
      <c r="J936" s="185"/>
    </row>
    <row r="937" spans="1:10">
      <c r="A937" s="185"/>
      <c r="B937" s="185"/>
      <c r="C937" s="185"/>
      <c r="D937" s="185"/>
      <c r="E937" s="191"/>
      <c r="F937" s="185"/>
      <c r="G937" s="185"/>
      <c r="H937" s="185"/>
      <c r="I937" s="185"/>
      <c r="J937" s="185"/>
    </row>
    <row r="938" spans="1:10">
      <c r="A938" s="185"/>
      <c r="B938" s="185"/>
      <c r="C938" s="185"/>
      <c r="D938" s="185"/>
      <c r="E938" s="191"/>
      <c r="F938" s="185"/>
      <c r="G938" s="185"/>
      <c r="H938" s="185"/>
      <c r="I938" s="185"/>
      <c r="J938" s="185"/>
    </row>
    <row r="939" spans="1:10">
      <c r="A939" s="185"/>
      <c r="B939" s="185"/>
      <c r="C939" s="185"/>
      <c r="D939" s="185"/>
      <c r="E939" s="191"/>
      <c r="F939" s="185"/>
      <c r="G939" s="185"/>
      <c r="H939" s="185"/>
      <c r="I939" s="185"/>
      <c r="J939" s="185"/>
    </row>
    <row r="940" spans="1:10">
      <c r="A940" s="185"/>
      <c r="B940" s="185"/>
      <c r="C940" s="185"/>
      <c r="D940" s="185"/>
      <c r="E940" s="191"/>
      <c r="F940" s="185"/>
      <c r="G940" s="185"/>
      <c r="H940" s="185"/>
      <c r="I940" s="185"/>
      <c r="J940" s="185"/>
    </row>
    <row r="941" spans="1:10">
      <c r="A941" s="185"/>
      <c r="B941" s="185"/>
      <c r="C941" s="185"/>
      <c r="D941" s="185"/>
      <c r="E941" s="191"/>
      <c r="F941" s="185"/>
      <c r="G941" s="185"/>
      <c r="H941" s="185"/>
      <c r="I941" s="185"/>
      <c r="J941" s="185"/>
    </row>
    <row r="942" spans="1:10">
      <c r="A942" s="185"/>
      <c r="B942" s="185"/>
      <c r="C942" s="185"/>
      <c r="D942" s="185"/>
      <c r="E942" s="191"/>
      <c r="F942" s="185"/>
      <c r="G942" s="185"/>
      <c r="H942" s="185"/>
      <c r="I942" s="185"/>
      <c r="J942" s="185"/>
    </row>
    <row r="943" spans="1:10">
      <c r="A943" s="185"/>
      <c r="B943" s="185"/>
      <c r="C943" s="185"/>
      <c r="D943" s="185"/>
      <c r="E943" s="191"/>
      <c r="F943" s="185"/>
      <c r="G943" s="185"/>
      <c r="H943" s="185"/>
      <c r="I943" s="185"/>
      <c r="J943" s="185"/>
    </row>
    <row r="944" spans="1:10">
      <c r="A944" s="185"/>
      <c r="B944" s="185"/>
      <c r="C944" s="185"/>
      <c r="D944" s="185"/>
      <c r="E944" s="191"/>
      <c r="F944" s="185"/>
      <c r="G944" s="185"/>
      <c r="H944" s="185"/>
      <c r="I944" s="185"/>
      <c r="J944" s="185"/>
    </row>
    <row r="945" spans="1:10">
      <c r="A945" s="185"/>
      <c r="B945" s="185"/>
      <c r="C945" s="185"/>
      <c r="D945" s="185"/>
      <c r="E945" s="191"/>
      <c r="F945" s="185"/>
      <c r="G945" s="185"/>
      <c r="H945" s="185"/>
      <c r="I945" s="185"/>
      <c r="J945" s="185"/>
    </row>
    <row r="946" spans="1:10">
      <c r="A946" s="185"/>
      <c r="B946" s="185"/>
      <c r="C946" s="185"/>
      <c r="D946" s="185"/>
      <c r="E946" s="191"/>
      <c r="F946" s="185"/>
      <c r="G946" s="185"/>
      <c r="H946" s="185"/>
      <c r="I946" s="185"/>
      <c r="J946" s="185"/>
    </row>
    <row r="947" spans="1:10">
      <c r="A947" s="185"/>
      <c r="B947" s="185"/>
      <c r="C947" s="185"/>
      <c r="D947" s="185"/>
      <c r="E947" s="191"/>
      <c r="F947" s="185"/>
      <c r="G947" s="185"/>
      <c r="H947" s="185"/>
      <c r="I947" s="185"/>
      <c r="J947" s="185"/>
    </row>
    <row r="948" spans="1:10">
      <c r="A948" s="185"/>
      <c r="B948" s="185"/>
      <c r="C948" s="185"/>
      <c r="D948" s="185"/>
      <c r="E948" s="191"/>
      <c r="F948" s="185"/>
      <c r="G948" s="185"/>
      <c r="H948" s="185"/>
      <c r="I948" s="185"/>
      <c r="J948" s="185"/>
    </row>
    <row r="949" spans="1:10">
      <c r="A949" s="185"/>
      <c r="B949" s="185"/>
      <c r="C949" s="185"/>
      <c r="D949" s="185"/>
      <c r="E949" s="191"/>
      <c r="F949" s="185"/>
      <c r="G949" s="185"/>
      <c r="H949" s="185"/>
      <c r="I949" s="185"/>
      <c r="J949" s="185"/>
    </row>
    <row r="950" spans="1:10">
      <c r="A950" s="185"/>
      <c r="B950" s="185"/>
      <c r="C950" s="185"/>
      <c r="D950" s="185"/>
      <c r="E950" s="191"/>
      <c r="F950" s="185"/>
      <c r="G950" s="185"/>
      <c r="H950" s="185"/>
      <c r="I950" s="185"/>
      <c r="J950" s="185"/>
    </row>
    <row r="951" spans="1:10">
      <c r="A951" s="185"/>
      <c r="B951" s="185"/>
      <c r="C951" s="185"/>
      <c r="D951" s="185"/>
      <c r="E951" s="191"/>
      <c r="F951" s="185"/>
      <c r="G951" s="185"/>
      <c r="H951" s="185"/>
      <c r="I951" s="185"/>
      <c r="J951" s="185"/>
    </row>
    <row r="952" spans="1:10">
      <c r="A952" s="185"/>
      <c r="B952" s="185"/>
      <c r="C952" s="185"/>
      <c r="D952" s="185"/>
      <c r="E952" s="191"/>
      <c r="F952" s="185"/>
      <c r="G952" s="185"/>
      <c r="H952" s="185"/>
      <c r="I952" s="185"/>
      <c r="J952" s="185"/>
    </row>
    <row r="953" spans="1:10">
      <c r="A953" s="185"/>
      <c r="B953" s="185"/>
      <c r="C953" s="185"/>
      <c r="D953" s="185"/>
      <c r="E953" s="191"/>
      <c r="F953" s="185"/>
      <c r="G953" s="185"/>
      <c r="H953" s="185"/>
      <c r="I953" s="185"/>
      <c r="J953" s="185"/>
    </row>
    <row r="954" spans="1:10">
      <c r="A954" s="185"/>
      <c r="B954" s="185"/>
      <c r="C954" s="185"/>
      <c r="D954" s="185"/>
      <c r="E954" s="191"/>
      <c r="F954" s="185"/>
      <c r="G954" s="185"/>
      <c r="H954" s="185"/>
      <c r="I954" s="185"/>
      <c r="J954" s="185"/>
    </row>
    <row r="955" spans="1:10">
      <c r="A955" s="185"/>
      <c r="B955" s="185"/>
      <c r="C955" s="185"/>
      <c r="D955" s="185"/>
      <c r="E955" s="191"/>
      <c r="F955" s="185"/>
      <c r="G955" s="185"/>
      <c r="H955" s="185"/>
      <c r="I955" s="185"/>
      <c r="J955" s="185"/>
    </row>
    <row r="956" spans="1:10">
      <c r="A956" s="185"/>
      <c r="B956" s="185"/>
      <c r="C956" s="185"/>
      <c r="D956" s="185"/>
      <c r="E956" s="191"/>
      <c r="F956" s="185"/>
      <c r="G956" s="185"/>
      <c r="H956" s="185"/>
      <c r="I956" s="185"/>
      <c r="J956" s="185"/>
    </row>
    <row r="957" spans="1:10">
      <c r="A957" s="185"/>
      <c r="B957" s="185"/>
      <c r="C957" s="185"/>
      <c r="D957" s="185"/>
      <c r="E957" s="191"/>
      <c r="F957" s="185"/>
      <c r="G957" s="185"/>
      <c r="H957" s="185"/>
      <c r="I957" s="185"/>
      <c r="J957" s="185"/>
    </row>
    <row r="958" spans="1:10">
      <c r="A958" s="185"/>
      <c r="B958" s="185"/>
      <c r="C958" s="185"/>
      <c r="D958" s="185"/>
      <c r="E958" s="191"/>
      <c r="F958" s="185"/>
      <c r="G958" s="185"/>
      <c r="H958" s="185"/>
      <c r="I958" s="185"/>
      <c r="J958" s="185"/>
    </row>
    <row r="959" spans="1:10">
      <c r="A959" s="185"/>
      <c r="B959" s="185"/>
      <c r="C959" s="185"/>
      <c r="D959" s="185"/>
      <c r="E959" s="191"/>
      <c r="F959" s="185"/>
      <c r="G959" s="185"/>
      <c r="H959" s="185"/>
      <c r="I959" s="185"/>
      <c r="J959" s="185"/>
    </row>
    <row r="960" spans="1:10">
      <c r="A960" s="185"/>
      <c r="B960" s="185"/>
      <c r="C960" s="185"/>
      <c r="D960" s="185"/>
      <c r="E960" s="191"/>
      <c r="F960" s="185"/>
      <c r="G960" s="185"/>
      <c r="H960" s="185"/>
      <c r="I960" s="185"/>
      <c r="J960" s="185"/>
    </row>
    <row r="961" spans="1:10">
      <c r="A961" s="185"/>
      <c r="B961" s="185"/>
      <c r="C961" s="185"/>
      <c r="D961" s="185"/>
      <c r="E961" s="191"/>
      <c r="F961" s="185"/>
      <c r="G961" s="185"/>
      <c r="H961" s="185"/>
      <c r="I961" s="185"/>
      <c r="J961" s="185"/>
    </row>
    <row r="962" spans="1:10">
      <c r="A962" s="185"/>
      <c r="B962" s="185"/>
      <c r="C962" s="185"/>
      <c r="D962" s="185"/>
      <c r="E962" s="191"/>
      <c r="F962" s="185"/>
      <c r="G962" s="185"/>
      <c r="H962" s="185"/>
      <c r="I962" s="185"/>
      <c r="J962" s="185"/>
    </row>
    <row r="963" spans="1:10">
      <c r="A963" s="185"/>
      <c r="B963" s="185"/>
      <c r="C963" s="185"/>
      <c r="D963" s="185"/>
      <c r="E963" s="191"/>
      <c r="F963" s="185"/>
      <c r="G963" s="185"/>
      <c r="H963" s="185"/>
      <c r="I963" s="185"/>
      <c r="J963" s="185"/>
    </row>
    <row r="964" spans="1:10">
      <c r="A964" s="185"/>
      <c r="B964" s="185"/>
      <c r="C964" s="185"/>
      <c r="D964" s="185"/>
      <c r="E964" s="191"/>
      <c r="F964" s="185"/>
      <c r="G964" s="185"/>
      <c r="H964" s="185"/>
      <c r="I964" s="185"/>
      <c r="J964" s="185"/>
    </row>
    <row r="965" spans="1:10">
      <c r="A965" s="185"/>
      <c r="B965" s="185"/>
      <c r="C965" s="185"/>
      <c r="D965" s="185"/>
      <c r="E965" s="191"/>
      <c r="F965" s="185"/>
      <c r="G965" s="185"/>
      <c r="H965" s="185"/>
      <c r="I965" s="185"/>
      <c r="J965" s="185"/>
    </row>
    <row r="966" spans="1:10">
      <c r="A966" s="185"/>
      <c r="B966" s="185"/>
      <c r="C966" s="185"/>
      <c r="D966" s="185"/>
      <c r="E966" s="191"/>
      <c r="F966" s="185"/>
      <c r="G966" s="185"/>
      <c r="H966" s="185"/>
      <c r="I966" s="185"/>
      <c r="J966" s="185"/>
    </row>
    <row r="967" spans="1:10">
      <c r="A967" s="185"/>
      <c r="B967" s="185"/>
      <c r="C967" s="185"/>
      <c r="D967" s="185"/>
      <c r="E967" s="191"/>
      <c r="F967" s="185"/>
      <c r="G967" s="185"/>
      <c r="H967" s="185"/>
      <c r="I967" s="185"/>
      <c r="J967" s="185"/>
    </row>
    <row r="968" spans="1:10">
      <c r="A968" s="185"/>
      <c r="B968" s="185"/>
      <c r="C968" s="185"/>
      <c r="D968" s="185"/>
      <c r="E968" s="191"/>
      <c r="F968" s="185"/>
      <c r="G968" s="185"/>
      <c r="H968" s="185"/>
      <c r="I968" s="185"/>
      <c r="J968" s="185"/>
    </row>
    <row r="969" spans="1:10">
      <c r="A969" s="185"/>
      <c r="B969" s="185"/>
      <c r="C969" s="185"/>
      <c r="D969" s="185"/>
      <c r="E969" s="191"/>
      <c r="F969" s="185"/>
      <c r="G969" s="185"/>
      <c r="H969" s="185"/>
      <c r="I969" s="185"/>
      <c r="J969" s="185"/>
    </row>
    <row r="970" spans="1:10">
      <c r="A970" s="185"/>
      <c r="B970" s="185"/>
      <c r="C970" s="185"/>
      <c r="D970" s="185"/>
      <c r="E970" s="191"/>
      <c r="F970" s="185"/>
      <c r="G970" s="185"/>
      <c r="H970" s="185"/>
      <c r="I970" s="185"/>
      <c r="J970" s="185"/>
    </row>
    <row r="971" spans="1:10">
      <c r="A971" s="185"/>
      <c r="B971" s="185"/>
      <c r="C971" s="185"/>
      <c r="D971" s="185"/>
      <c r="E971" s="191"/>
      <c r="F971" s="185"/>
      <c r="G971" s="185"/>
      <c r="H971" s="185"/>
      <c r="I971" s="185"/>
      <c r="J971" s="185"/>
    </row>
    <row r="972" spans="1:10">
      <c r="A972" s="185"/>
      <c r="B972" s="185"/>
      <c r="C972" s="185"/>
      <c r="D972" s="185"/>
      <c r="E972" s="191"/>
      <c r="F972" s="185"/>
      <c r="G972" s="185"/>
      <c r="H972" s="185"/>
      <c r="I972" s="185"/>
      <c r="J972" s="185"/>
    </row>
    <row r="973" spans="1:10">
      <c r="A973" s="185"/>
      <c r="B973" s="185"/>
      <c r="C973" s="185"/>
      <c r="D973" s="185"/>
      <c r="E973" s="191"/>
      <c r="F973" s="185"/>
      <c r="G973" s="185"/>
      <c r="H973" s="185"/>
      <c r="I973" s="185"/>
      <c r="J973" s="185"/>
    </row>
    <row r="974" spans="1:10">
      <c r="A974" s="185"/>
      <c r="B974" s="185"/>
      <c r="C974" s="185"/>
      <c r="D974" s="185"/>
      <c r="E974" s="191"/>
      <c r="F974" s="185"/>
      <c r="G974" s="185"/>
      <c r="H974" s="185"/>
      <c r="I974" s="185"/>
      <c r="J974" s="185"/>
    </row>
    <row r="975" spans="1:10">
      <c r="A975" s="185"/>
      <c r="B975" s="185"/>
      <c r="C975" s="185"/>
      <c r="D975" s="185"/>
      <c r="E975" s="191"/>
      <c r="F975" s="185"/>
      <c r="G975" s="185"/>
      <c r="H975" s="185"/>
      <c r="I975" s="185"/>
      <c r="J975" s="185"/>
    </row>
    <row r="976" spans="1:10">
      <c r="A976" s="185"/>
      <c r="B976" s="185"/>
      <c r="C976" s="185"/>
      <c r="D976" s="185"/>
      <c r="E976" s="191"/>
      <c r="F976" s="185"/>
      <c r="G976" s="185"/>
      <c r="H976" s="185"/>
      <c r="I976" s="185"/>
      <c r="J976" s="185"/>
    </row>
    <row r="977" spans="1:10">
      <c r="A977" s="185"/>
      <c r="B977" s="185"/>
      <c r="C977" s="185"/>
      <c r="D977" s="185"/>
      <c r="E977" s="191"/>
      <c r="F977" s="185"/>
      <c r="G977" s="185"/>
      <c r="H977" s="185"/>
      <c r="I977" s="185"/>
      <c r="J977" s="185"/>
    </row>
    <row r="978" spans="1:10">
      <c r="A978" s="185"/>
      <c r="B978" s="185"/>
      <c r="C978" s="185"/>
      <c r="D978" s="185"/>
      <c r="E978" s="191"/>
      <c r="F978" s="185"/>
      <c r="G978" s="185"/>
      <c r="H978" s="185"/>
      <c r="I978" s="185"/>
      <c r="J978" s="185"/>
    </row>
    <row r="979" spans="1:10">
      <c r="A979" s="185"/>
      <c r="B979" s="185"/>
      <c r="C979" s="185"/>
      <c r="D979" s="185"/>
      <c r="E979" s="191"/>
      <c r="F979" s="185"/>
      <c r="G979" s="185"/>
      <c r="H979" s="185"/>
      <c r="I979" s="185"/>
      <c r="J979" s="185"/>
    </row>
    <row r="980" spans="1:10">
      <c r="A980" s="185"/>
      <c r="B980" s="185"/>
      <c r="C980" s="185"/>
      <c r="D980" s="185"/>
      <c r="E980" s="191"/>
      <c r="F980" s="185"/>
      <c r="G980" s="185"/>
      <c r="H980" s="185"/>
      <c r="I980" s="185"/>
      <c r="J980" s="185"/>
    </row>
    <row r="981" spans="1:10">
      <c r="A981" s="185"/>
      <c r="B981" s="185"/>
      <c r="C981" s="185"/>
      <c r="D981" s="185"/>
      <c r="E981" s="191"/>
      <c r="F981" s="185"/>
      <c r="G981" s="185"/>
      <c r="H981" s="185"/>
      <c r="I981" s="185"/>
      <c r="J981" s="185"/>
    </row>
    <row r="982" spans="1:10">
      <c r="A982" s="185"/>
      <c r="B982" s="185"/>
      <c r="C982" s="185"/>
      <c r="D982" s="185"/>
      <c r="E982" s="191"/>
      <c r="F982" s="185"/>
      <c r="G982" s="185"/>
      <c r="H982" s="185"/>
      <c r="I982" s="185"/>
      <c r="J982" s="185"/>
    </row>
    <row r="983" spans="1:10">
      <c r="A983" s="185"/>
      <c r="B983" s="185"/>
      <c r="C983" s="185"/>
      <c r="D983" s="185"/>
      <c r="E983" s="191"/>
      <c r="F983" s="185"/>
      <c r="G983" s="185"/>
      <c r="H983" s="185"/>
      <c r="I983" s="185"/>
      <c r="J983" s="185"/>
    </row>
    <row r="984" spans="1:10">
      <c r="A984" s="185"/>
      <c r="B984" s="185"/>
      <c r="C984" s="185"/>
      <c r="D984" s="185"/>
      <c r="E984" s="191"/>
      <c r="F984" s="185"/>
      <c r="G984" s="185"/>
      <c r="H984" s="185"/>
      <c r="I984" s="185"/>
      <c r="J984" s="185"/>
    </row>
    <row r="985" spans="1:10">
      <c r="A985" s="185"/>
      <c r="B985" s="185"/>
      <c r="C985" s="185"/>
      <c r="D985" s="185"/>
      <c r="E985" s="191"/>
      <c r="F985" s="185"/>
      <c r="G985" s="185"/>
      <c r="H985" s="185"/>
      <c r="I985" s="185"/>
      <c r="J985" s="185"/>
    </row>
    <row r="986" spans="1:10">
      <c r="A986" s="185"/>
      <c r="B986" s="185"/>
      <c r="C986" s="185"/>
      <c r="D986" s="185"/>
      <c r="E986" s="191"/>
      <c r="F986" s="185"/>
      <c r="G986" s="185"/>
      <c r="H986" s="185"/>
      <c r="I986" s="185"/>
      <c r="J986" s="185"/>
    </row>
    <row r="987" spans="1:10">
      <c r="A987" s="185"/>
      <c r="B987" s="185"/>
      <c r="C987" s="185"/>
      <c r="D987" s="185"/>
      <c r="E987" s="191"/>
      <c r="F987" s="185"/>
      <c r="G987" s="185"/>
      <c r="H987" s="185"/>
      <c r="I987" s="185"/>
      <c r="J987" s="185"/>
    </row>
    <row r="988" spans="1:10">
      <c r="A988" s="185"/>
      <c r="B988" s="185"/>
      <c r="C988" s="185"/>
      <c r="D988" s="185"/>
      <c r="E988" s="191"/>
      <c r="F988" s="185"/>
      <c r="G988" s="185"/>
      <c r="H988" s="185"/>
      <c r="I988" s="185"/>
      <c r="J988" s="185"/>
    </row>
    <row r="989" spans="1:10">
      <c r="A989" s="185"/>
      <c r="B989" s="185"/>
      <c r="C989" s="185"/>
      <c r="D989" s="185"/>
      <c r="E989" s="191"/>
      <c r="F989" s="185"/>
      <c r="G989" s="185"/>
      <c r="H989" s="185"/>
      <c r="I989" s="185"/>
      <c r="J989" s="185"/>
    </row>
    <row r="990" spans="1:10">
      <c r="A990" s="185"/>
      <c r="B990" s="185"/>
      <c r="C990" s="185"/>
      <c r="D990" s="185"/>
      <c r="E990" s="191"/>
      <c r="F990" s="185"/>
      <c r="G990" s="185"/>
      <c r="H990" s="185"/>
      <c r="I990" s="185"/>
      <c r="J990" s="185"/>
    </row>
    <row r="991" spans="1:10">
      <c r="A991" s="185"/>
      <c r="B991" s="185"/>
      <c r="C991" s="185"/>
      <c r="D991" s="185"/>
      <c r="E991" s="191"/>
      <c r="F991" s="185"/>
      <c r="G991" s="185"/>
      <c r="H991" s="185"/>
      <c r="I991" s="185"/>
      <c r="J991" s="185"/>
    </row>
    <row r="992" spans="1:10">
      <c r="A992" s="185"/>
      <c r="B992" s="185"/>
      <c r="C992" s="185"/>
      <c r="D992" s="185"/>
      <c r="E992" s="191"/>
      <c r="F992" s="185"/>
      <c r="G992" s="185"/>
      <c r="H992" s="185"/>
      <c r="I992" s="185"/>
      <c r="J992" s="185"/>
    </row>
    <row r="993" spans="1:10">
      <c r="A993" s="185"/>
      <c r="B993" s="185"/>
      <c r="C993" s="185"/>
      <c r="D993" s="185"/>
      <c r="E993" s="191"/>
      <c r="F993" s="185"/>
      <c r="G993" s="185"/>
      <c r="H993" s="185"/>
      <c r="I993" s="185"/>
      <c r="J993" s="185"/>
    </row>
    <row r="994" spans="1:10">
      <c r="A994" s="185"/>
      <c r="B994" s="185"/>
      <c r="C994" s="185"/>
      <c r="D994" s="185"/>
      <c r="E994" s="191"/>
      <c r="F994" s="185"/>
      <c r="G994" s="185"/>
      <c r="H994" s="185"/>
      <c r="I994" s="185"/>
      <c r="J994" s="185"/>
    </row>
    <row r="995" spans="1:10">
      <c r="A995" s="185"/>
      <c r="B995" s="185"/>
      <c r="C995" s="185"/>
      <c r="D995" s="185"/>
      <c r="E995" s="191"/>
      <c r="F995" s="185"/>
      <c r="G995" s="185"/>
      <c r="H995" s="185"/>
      <c r="I995" s="185"/>
      <c r="J995" s="185"/>
    </row>
    <row r="996" spans="1:10">
      <c r="A996" s="185"/>
      <c r="B996" s="185"/>
      <c r="C996" s="185"/>
      <c r="D996" s="185"/>
      <c r="E996" s="191"/>
      <c r="F996" s="185"/>
      <c r="G996" s="185"/>
      <c r="H996" s="185"/>
      <c r="I996" s="185"/>
      <c r="J996" s="185"/>
    </row>
    <row r="997" spans="1:10">
      <c r="A997" s="185"/>
      <c r="B997" s="185"/>
      <c r="C997" s="185"/>
      <c r="D997" s="185"/>
      <c r="E997" s="191"/>
      <c r="F997" s="185"/>
      <c r="G997" s="185"/>
      <c r="H997" s="185"/>
      <c r="I997" s="185"/>
      <c r="J997" s="185"/>
    </row>
    <row r="998" spans="1:10">
      <c r="A998" s="185"/>
      <c r="B998" s="185"/>
      <c r="C998" s="185"/>
      <c r="D998" s="185"/>
      <c r="E998" s="191"/>
      <c r="F998" s="185"/>
      <c r="G998" s="185"/>
      <c r="H998" s="185"/>
      <c r="I998" s="185"/>
      <c r="J998" s="185"/>
    </row>
    <row r="999" spans="1:10">
      <c r="A999" s="185"/>
      <c r="B999" s="185"/>
      <c r="C999" s="185"/>
      <c r="D999" s="185"/>
      <c r="E999" s="191"/>
      <c r="F999" s="185"/>
      <c r="G999" s="185"/>
      <c r="H999" s="185"/>
      <c r="I999" s="185"/>
      <c r="J999" s="185"/>
    </row>
    <row r="1000" spans="1:10">
      <c r="A1000" s="185"/>
      <c r="B1000" s="185"/>
      <c r="C1000" s="185"/>
      <c r="D1000" s="185"/>
      <c r="E1000" s="191"/>
      <c r="F1000" s="185"/>
      <c r="G1000" s="185"/>
      <c r="H1000" s="185"/>
      <c r="I1000" s="185"/>
      <c r="J1000" s="185"/>
    </row>
    <row r="1001" spans="1:10">
      <c r="A1001" s="185"/>
      <c r="B1001" s="185"/>
      <c r="C1001" s="185"/>
      <c r="D1001" s="185"/>
      <c r="E1001" s="191"/>
      <c r="F1001" s="185"/>
      <c r="G1001" s="185"/>
      <c r="H1001" s="185"/>
      <c r="I1001" s="185"/>
      <c r="J1001" s="185"/>
    </row>
    <row r="1002" spans="1:10">
      <c r="A1002" s="185"/>
      <c r="B1002" s="185"/>
      <c r="C1002" s="185"/>
      <c r="D1002" s="185"/>
      <c r="E1002" s="191"/>
      <c r="F1002" s="185"/>
      <c r="G1002" s="185"/>
      <c r="H1002" s="185"/>
      <c r="I1002" s="185"/>
      <c r="J1002" s="185"/>
    </row>
    <row r="1003" spans="1:10">
      <c r="A1003" s="185"/>
      <c r="B1003" s="185"/>
      <c r="C1003" s="185"/>
      <c r="D1003" s="185"/>
      <c r="E1003" s="191"/>
      <c r="F1003" s="185"/>
      <c r="G1003" s="185"/>
      <c r="H1003" s="185"/>
      <c r="I1003" s="185"/>
      <c r="J1003" s="185"/>
    </row>
    <row r="1004" spans="1:10">
      <c r="A1004" s="185"/>
      <c r="B1004" s="185"/>
      <c r="C1004" s="185"/>
      <c r="D1004" s="185"/>
      <c r="E1004" s="191"/>
      <c r="F1004" s="185"/>
      <c r="G1004" s="185"/>
      <c r="H1004" s="185"/>
      <c r="I1004" s="185"/>
      <c r="J1004" s="185"/>
    </row>
    <row r="1005" spans="1:10">
      <c r="A1005" s="185"/>
      <c r="B1005" s="185"/>
      <c r="C1005" s="185"/>
      <c r="D1005" s="185"/>
      <c r="E1005" s="191"/>
      <c r="F1005" s="185"/>
      <c r="G1005" s="185"/>
      <c r="H1005" s="185"/>
      <c r="I1005" s="185"/>
      <c r="J1005" s="185"/>
    </row>
    <row r="1006" spans="1:10">
      <c r="A1006" s="185"/>
      <c r="B1006" s="185"/>
      <c r="C1006" s="185"/>
      <c r="D1006" s="185"/>
      <c r="E1006" s="191"/>
      <c r="F1006" s="185"/>
      <c r="G1006" s="185"/>
      <c r="H1006" s="185"/>
      <c r="I1006" s="185"/>
      <c r="J1006" s="185"/>
    </row>
    <row r="1007" spans="1:10">
      <c r="A1007" s="185"/>
      <c r="B1007" s="185"/>
      <c r="C1007" s="185"/>
      <c r="D1007" s="185"/>
      <c r="E1007" s="191"/>
      <c r="F1007" s="185"/>
      <c r="G1007" s="185"/>
      <c r="H1007" s="185"/>
      <c r="I1007" s="185"/>
      <c r="J1007" s="185"/>
    </row>
    <row r="1008" spans="1:10">
      <c r="A1008" s="185"/>
      <c r="B1008" s="185"/>
      <c r="C1008" s="185"/>
      <c r="D1008" s="185"/>
      <c r="E1008" s="191"/>
      <c r="F1008" s="185"/>
      <c r="G1008" s="185"/>
      <c r="H1008" s="185"/>
      <c r="I1008" s="185"/>
      <c r="J1008" s="185"/>
    </row>
    <row r="1009" spans="1:10">
      <c r="A1009" s="185"/>
      <c r="B1009" s="185"/>
      <c r="C1009" s="185"/>
      <c r="D1009" s="185"/>
      <c r="E1009" s="191"/>
      <c r="F1009" s="185"/>
      <c r="G1009" s="185"/>
      <c r="H1009" s="185"/>
      <c r="I1009" s="185"/>
      <c r="J1009" s="185"/>
    </row>
    <row r="1010" spans="1:10">
      <c r="A1010" s="185"/>
      <c r="B1010" s="185"/>
      <c r="C1010" s="185"/>
      <c r="D1010" s="185"/>
      <c r="E1010" s="191"/>
      <c r="F1010" s="185"/>
      <c r="G1010" s="185"/>
      <c r="H1010" s="185"/>
      <c r="I1010" s="185"/>
      <c r="J1010" s="185"/>
    </row>
    <row r="1011" spans="1:10">
      <c r="A1011" s="185"/>
      <c r="B1011" s="185"/>
      <c r="C1011" s="185"/>
      <c r="D1011" s="185"/>
      <c r="E1011" s="191"/>
      <c r="F1011" s="185"/>
      <c r="G1011" s="185"/>
      <c r="H1011" s="185"/>
      <c r="I1011" s="185"/>
      <c r="J1011" s="185"/>
    </row>
    <row r="1012" spans="1:10">
      <c r="A1012" s="185"/>
      <c r="B1012" s="185"/>
      <c r="C1012" s="185"/>
      <c r="D1012" s="185"/>
      <c r="E1012" s="191"/>
      <c r="F1012" s="185"/>
      <c r="G1012" s="185"/>
      <c r="H1012" s="185"/>
      <c r="I1012" s="185"/>
      <c r="J1012" s="185"/>
    </row>
    <row r="1013" spans="1:10">
      <c r="A1013" s="185"/>
      <c r="B1013" s="185"/>
      <c r="C1013" s="185"/>
      <c r="D1013" s="185"/>
      <c r="E1013" s="191"/>
      <c r="F1013" s="185"/>
      <c r="G1013" s="185"/>
      <c r="H1013" s="185"/>
      <c r="I1013" s="185"/>
      <c r="J1013" s="185"/>
    </row>
    <row r="1014" spans="1:10">
      <c r="A1014" s="185"/>
      <c r="B1014" s="185"/>
      <c r="C1014" s="185"/>
      <c r="D1014" s="185"/>
      <c r="E1014" s="191"/>
      <c r="F1014" s="185"/>
      <c r="G1014" s="185"/>
      <c r="H1014" s="185"/>
      <c r="I1014" s="185"/>
      <c r="J1014" s="185"/>
    </row>
    <row r="1015" spans="1:10">
      <c r="A1015" s="185"/>
      <c r="B1015" s="185"/>
      <c r="C1015" s="185"/>
      <c r="D1015" s="185"/>
      <c r="E1015" s="191"/>
      <c r="F1015" s="185"/>
      <c r="G1015" s="185"/>
      <c r="H1015" s="185"/>
      <c r="I1015" s="185"/>
      <c r="J1015" s="185"/>
    </row>
    <row r="1016" spans="1:10">
      <c r="A1016" s="185"/>
      <c r="B1016" s="185"/>
      <c r="C1016" s="185"/>
      <c r="D1016" s="185"/>
      <c r="E1016" s="191"/>
      <c r="F1016" s="185"/>
      <c r="G1016" s="185"/>
      <c r="H1016" s="185"/>
      <c r="I1016" s="185"/>
      <c r="J1016" s="185"/>
    </row>
    <row r="1017" spans="1:10">
      <c r="A1017" s="185"/>
      <c r="B1017" s="185"/>
      <c r="C1017" s="185"/>
      <c r="D1017" s="185"/>
      <c r="E1017" s="191"/>
      <c r="F1017" s="185"/>
      <c r="G1017" s="185"/>
      <c r="H1017" s="185"/>
      <c r="I1017" s="185"/>
      <c r="J1017" s="185"/>
    </row>
    <row r="1018" spans="1:10">
      <c r="A1018" s="185"/>
      <c r="B1018" s="185"/>
      <c r="C1018" s="185"/>
      <c r="D1018" s="185"/>
      <c r="E1018" s="191"/>
      <c r="F1018" s="185"/>
      <c r="G1018" s="185"/>
      <c r="H1018" s="185"/>
      <c r="I1018" s="185"/>
      <c r="J1018" s="185"/>
    </row>
    <row r="1019" spans="1:10">
      <c r="A1019" s="185"/>
      <c r="B1019" s="185"/>
      <c r="C1019" s="185"/>
      <c r="D1019" s="185"/>
      <c r="E1019" s="191"/>
      <c r="F1019" s="185"/>
      <c r="G1019" s="185"/>
      <c r="H1019" s="185"/>
      <c r="I1019" s="185"/>
      <c r="J1019" s="185"/>
    </row>
    <row r="1020" spans="1:10">
      <c r="A1020" s="185"/>
      <c r="B1020" s="185"/>
      <c r="C1020" s="185"/>
      <c r="D1020" s="185"/>
      <c r="E1020" s="191"/>
      <c r="F1020" s="185"/>
      <c r="G1020" s="185"/>
      <c r="H1020" s="185"/>
      <c r="I1020" s="185"/>
      <c r="J1020" s="185"/>
    </row>
    <row r="1021" spans="1:10">
      <c r="A1021" s="185"/>
      <c r="B1021" s="185"/>
      <c r="C1021" s="185"/>
      <c r="D1021" s="185"/>
      <c r="E1021" s="191"/>
      <c r="F1021" s="185"/>
      <c r="G1021" s="185"/>
      <c r="H1021" s="185"/>
      <c r="I1021" s="185"/>
      <c r="J1021" s="185"/>
    </row>
    <row r="1022" spans="1:10">
      <c r="A1022" s="185"/>
      <c r="B1022" s="185"/>
      <c r="C1022" s="185"/>
      <c r="D1022" s="185"/>
      <c r="E1022" s="191"/>
      <c r="F1022" s="185"/>
      <c r="G1022" s="185"/>
      <c r="H1022" s="185"/>
      <c r="I1022" s="185"/>
      <c r="J1022" s="185"/>
    </row>
    <row r="1023" spans="1:10">
      <c r="A1023" s="185"/>
      <c r="B1023" s="185"/>
      <c r="C1023" s="185"/>
      <c r="D1023" s="185"/>
      <c r="E1023" s="191"/>
      <c r="F1023" s="185"/>
      <c r="G1023" s="185"/>
      <c r="H1023" s="185"/>
      <c r="I1023" s="185"/>
      <c r="J1023" s="185"/>
    </row>
    <row r="1024" spans="1:10">
      <c r="A1024" s="185"/>
      <c r="B1024" s="185"/>
      <c r="C1024" s="185"/>
      <c r="D1024" s="185"/>
      <c r="E1024" s="191"/>
      <c r="F1024" s="185"/>
      <c r="G1024" s="185"/>
      <c r="H1024" s="185"/>
      <c r="I1024" s="185"/>
      <c r="J1024" s="185"/>
    </row>
    <row r="1025" spans="1:10">
      <c r="A1025" s="185"/>
      <c r="B1025" s="185"/>
      <c r="C1025" s="185"/>
      <c r="D1025" s="185"/>
      <c r="E1025" s="191"/>
      <c r="F1025" s="185"/>
      <c r="G1025" s="185"/>
      <c r="H1025" s="185"/>
      <c r="I1025" s="185"/>
      <c r="J1025" s="185"/>
    </row>
    <row r="1026" spans="1:10">
      <c r="A1026" s="185"/>
      <c r="B1026" s="185"/>
      <c r="C1026" s="185"/>
      <c r="D1026" s="185"/>
      <c r="E1026" s="191"/>
      <c r="F1026" s="185"/>
      <c r="G1026" s="185"/>
      <c r="H1026" s="185"/>
      <c r="I1026" s="185"/>
      <c r="J1026" s="185"/>
    </row>
    <row r="1027" spans="1:10">
      <c r="A1027" s="185"/>
      <c r="B1027" s="185"/>
      <c r="C1027" s="185"/>
      <c r="D1027" s="185"/>
      <c r="E1027" s="191"/>
      <c r="F1027" s="185"/>
      <c r="G1027" s="185"/>
      <c r="H1027" s="185"/>
      <c r="I1027" s="185"/>
      <c r="J1027" s="185"/>
    </row>
    <row r="1028" spans="1:10">
      <c r="A1028" s="185"/>
      <c r="B1028" s="185"/>
      <c r="C1028" s="185"/>
      <c r="D1028" s="185"/>
      <c r="E1028" s="191"/>
      <c r="F1028" s="185"/>
      <c r="G1028" s="185"/>
      <c r="H1028" s="185"/>
      <c r="I1028" s="185"/>
      <c r="J1028" s="185"/>
    </row>
    <row r="1029" spans="1:10">
      <c r="A1029" s="185"/>
      <c r="B1029" s="185"/>
      <c r="C1029" s="185"/>
      <c r="D1029" s="185"/>
      <c r="E1029" s="191"/>
      <c r="F1029" s="185"/>
      <c r="G1029" s="185"/>
      <c r="H1029" s="185"/>
      <c r="I1029" s="185"/>
      <c r="J1029" s="185"/>
    </row>
    <row r="1030" spans="1:10">
      <c r="A1030" s="185"/>
      <c r="B1030" s="185"/>
      <c r="C1030" s="185"/>
      <c r="D1030" s="185"/>
      <c r="E1030" s="191"/>
      <c r="F1030" s="185"/>
      <c r="G1030" s="185"/>
      <c r="H1030" s="185"/>
      <c r="I1030" s="185"/>
      <c r="J1030" s="185"/>
    </row>
    <row r="1031" spans="1:10">
      <c r="A1031" s="185"/>
      <c r="B1031" s="185"/>
      <c r="C1031" s="185"/>
      <c r="D1031" s="185"/>
      <c r="E1031" s="191"/>
      <c r="F1031" s="185"/>
      <c r="G1031" s="185"/>
      <c r="H1031" s="185"/>
      <c r="I1031" s="185"/>
      <c r="J1031" s="185"/>
    </row>
    <row r="1032" spans="1:10">
      <c r="A1032" s="185"/>
      <c r="B1032" s="185"/>
      <c r="C1032" s="185"/>
      <c r="D1032" s="185"/>
      <c r="E1032" s="191"/>
      <c r="F1032" s="185"/>
      <c r="G1032" s="185"/>
      <c r="H1032" s="185"/>
      <c r="I1032" s="185"/>
      <c r="J1032" s="185"/>
    </row>
    <row r="1033" spans="1:10">
      <c r="A1033" s="185"/>
      <c r="B1033" s="185"/>
      <c r="C1033" s="185"/>
      <c r="D1033" s="185"/>
      <c r="E1033" s="191"/>
      <c r="F1033" s="185"/>
      <c r="G1033" s="185"/>
      <c r="H1033" s="185"/>
      <c r="I1033" s="185"/>
      <c r="J1033" s="185"/>
    </row>
    <row r="1034" spans="1:10">
      <c r="A1034" s="185"/>
      <c r="B1034" s="185"/>
      <c r="C1034" s="185"/>
      <c r="D1034" s="185"/>
      <c r="E1034" s="191"/>
      <c r="F1034" s="185"/>
      <c r="G1034" s="185"/>
      <c r="H1034" s="185"/>
      <c r="I1034" s="185"/>
      <c r="J1034" s="185"/>
    </row>
    <row r="1035" spans="1:10">
      <c r="A1035" s="185"/>
      <c r="B1035" s="185"/>
      <c r="C1035" s="185"/>
      <c r="D1035" s="185"/>
      <c r="E1035" s="191"/>
      <c r="F1035" s="185"/>
      <c r="G1035" s="185"/>
      <c r="H1035" s="185"/>
      <c r="I1035" s="185"/>
      <c r="J1035" s="185"/>
    </row>
    <row r="1036" spans="1:10">
      <c r="A1036" s="185"/>
      <c r="B1036" s="185"/>
      <c r="C1036" s="185"/>
      <c r="D1036" s="185"/>
      <c r="E1036" s="191"/>
      <c r="F1036" s="185"/>
      <c r="G1036" s="185"/>
      <c r="H1036" s="185"/>
      <c r="I1036" s="185"/>
      <c r="J1036" s="185"/>
    </row>
    <row r="1037" spans="1:10">
      <c r="A1037" s="185"/>
      <c r="B1037" s="185"/>
      <c r="C1037" s="185"/>
      <c r="D1037" s="185"/>
      <c r="E1037" s="191"/>
      <c r="F1037" s="185"/>
      <c r="G1037" s="185"/>
      <c r="H1037" s="185"/>
      <c r="I1037" s="185"/>
      <c r="J1037" s="185"/>
    </row>
    <row r="1038" spans="1:10">
      <c r="A1038" s="185"/>
      <c r="B1038" s="185"/>
      <c r="C1038" s="185"/>
      <c r="D1038" s="185"/>
      <c r="E1038" s="191"/>
      <c r="F1038" s="185"/>
      <c r="G1038" s="185"/>
      <c r="H1038" s="185"/>
      <c r="I1038" s="185"/>
      <c r="J1038" s="185"/>
    </row>
    <row r="1039" spans="1:10">
      <c r="A1039" s="185"/>
      <c r="B1039" s="185"/>
      <c r="C1039" s="185"/>
      <c r="D1039" s="185"/>
      <c r="E1039" s="191"/>
      <c r="F1039" s="185"/>
      <c r="G1039" s="185"/>
      <c r="H1039" s="185"/>
      <c r="I1039" s="185"/>
      <c r="J1039" s="185"/>
    </row>
    <row r="1040" spans="1:10">
      <c r="A1040" s="185"/>
      <c r="B1040" s="185"/>
      <c r="C1040" s="185"/>
      <c r="D1040" s="185"/>
      <c r="E1040" s="191"/>
      <c r="F1040" s="185"/>
      <c r="G1040" s="185"/>
      <c r="H1040" s="185"/>
      <c r="I1040" s="185"/>
      <c r="J1040" s="185"/>
    </row>
    <row r="1041" spans="1:10">
      <c r="A1041" s="185"/>
      <c r="B1041" s="185"/>
      <c r="C1041" s="185"/>
      <c r="D1041" s="185"/>
      <c r="E1041" s="191"/>
      <c r="F1041" s="185"/>
      <c r="G1041" s="185"/>
      <c r="H1041" s="185"/>
      <c r="I1041" s="185"/>
      <c r="J1041" s="185"/>
    </row>
    <row r="1042" spans="1:10">
      <c r="A1042" s="185"/>
      <c r="B1042" s="185"/>
      <c r="C1042" s="185"/>
      <c r="D1042" s="185"/>
      <c r="E1042" s="191"/>
      <c r="F1042" s="185"/>
      <c r="G1042" s="185"/>
      <c r="H1042" s="185"/>
      <c r="I1042" s="185"/>
      <c r="J1042" s="185"/>
    </row>
    <row r="1043" spans="1:10">
      <c r="A1043" s="185"/>
      <c r="B1043" s="185"/>
      <c r="C1043" s="185"/>
      <c r="D1043" s="185"/>
      <c r="E1043" s="191"/>
      <c r="F1043" s="185"/>
      <c r="G1043" s="185"/>
      <c r="H1043" s="185"/>
      <c r="I1043" s="185"/>
      <c r="J1043" s="185"/>
    </row>
    <row r="1044" spans="1:10">
      <c r="A1044" s="185"/>
      <c r="B1044" s="185"/>
      <c r="C1044" s="185"/>
      <c r="D1044" s="185"/>
      <c r="E1044" s="191"/>
      <c r="F1044" s="185"/>
      <c r="G1044" s="185"/>
      <c r="H1044" s="185"/>
      <c r="I1044" s="185"/>
      <c r="J1044" s="185"/>
    </row>
    <row r="1045" spans="1:10">
      <c r="A1045" s="185"/>
      <c r="B1045" s="185"/>
      <c r="C1045" s="185"/>
      <c r="D1045" s="185"/>
      <c r="E1045" s="191"/>
      <c r="F1045" s="185"/>
      <c r="G1045" s="185"/>
      <c r="H1045" s="185"/>
      <c r="I1045" s="185"/>
      <c r="J1045" s="185"/>
    </row>
    <row r="1046" spans="1:10">
      <c r="A1046" s="185"/>
      <c r="B1046" s="185"/>
      <c r="C1046" s="185"/>
      <c r="D1046" s="185"/>
      <c r="E1046" s="191"/>
      <c r="F1046" s="185"/>
      <c r="G1046" s="185"/>
      <c r="H1046" s="185"/>
      <c r="I1046" s="185"/>
      <c r="J1046" s="185"/>
    </row>
    <row r="1047" spans="1:10">
      <c r="A1047" s="185"/>
      <c r="B1047" s="185"/>
      <c r="C1047" s="185"/>
      <c r="D1047" s="185"/>
      <c r="E1047" s="191"/>
      <c r="F1047" s="185"/>
      <c r="G1047" s="185"/>
      <c r="H1047" s="185"/>
      <c r="I1047" s="185"/>
      <c r="J1047" s="185"/>
    </row>
    <row r="1048" spans="1:10">
      <c r="A1048" s="185"/>
      <c r="B1048" s="185"/>
      <c r="C1048" s="185"/>
      <c r="D1048" s="185"/>
      <c r="E1048" s="191"/>
      <c r="F1048" s="185"/>
      <c r="G1048" s="185"/>
      <c r="H1048" s="185"/>
      <c r="I1048" s="185"/>
      <c r="J1048" s="185"/>
    </row>
    <row r="1049" spans="1:10">
      <c r="A1049" s="185"/>
      <c r="B1049" s="185"/>
      <c r="C1049" s="185"/>
      <c r="D1049" s="185"/>
      <c r="E1049" s="191"/>
      <c r="F1049" s="185"/>
      <c r="G1049" s="185"/>
      <c r="H1049" s="185"/>
      <c r="I1049" s="185"/>
      <c r="J1049" s="185"/>
    </row>
    <row r="1050" spans="1:10">
      <c r="A1050" s="185"/>
      <c r="B1050" s="185"/>
      <c r="C1050" s="185"/>
      <c r="D1050" s="185"/>
      <c r="E1050" s="191"/>
      <c r="F1050" s="185"/>
      <c r="G1050" s="185"/>
      <c r="H1050" s="185"/>
      <c r="I1050" s="185"/>
      <c r="J1050" s="185"/>
    </row>
    <row r="1051" spans="1:10">
      <c r="A1051" s="185"/>
      <c r="B1051" s="185"/>
      <c r="C1051" s="185"/>
      <c r="D1051" s="185"/>
      <c r="E1051" s="191"/>
      <c r="F1051" s="185"/>
      <c r="G1051" s="185"/>
      <c r="H1051" s="185"/>
      <c r="I1051" s="185"/>
      <c r="J1051" s="185"/>
    </row>
    <row r="1052" spans="1:10">
      <c r="A1052" s="185"/>
      <c r="B1052" s="185"/>
      <c r="C1052" s="185"/>
      <c r="D1052" s="185"/>
      <c r="E1052" s="191"/>
      <c r="F1052" s="185"/>
      <c r="G1052" s="185"/>
      <c r="H1052" s="185"/>
      <c r="I1052" s="185"/>
      <c r="J1052" s="185"/>
    </row>
    <row r="1053" spans="1:10">
      <c r="A1053" s="185"/>
      <c r="B1053" s="185"/>
      <c r="C1053" s="185"/>
      <c r="D1053" s="185"/>
      <c r="E1053" s="191"/>
      <c r="F1053" s="185"/>
      <c r="G1053" s="185"/>
      <c r="H1053" s="185"/>
      <c r="I1053" s="185"/>
      <c r="J1053" s="185"/>
    </row>
    <row r="1054" spans="1:10">
      <c r="A1054" s="185"/>
      <c r="B1054" s="185"/>
      <c r="C1054" s="185"/>
      <c r="D1054" s="185"/>
      <c r="E1054" s="191"/>
      <c r="F1054" s="185"/>
      <c r="G1054" s="185"/>
      <c r="H1054" s="185"/>
      <c r="I1054" s="185"/>
      <c r="J1054" s="185"/>
    </row>
    <row r="1055" spans="1:10">
      <c r="A1055" s="185"/>
      <c r="B1055" s="185"/>
      <c r="C1055" s="185"/>
      <c r="D1055" s="185"/>
      <c r="E1055" s="191"/>
      <c r="F1055" s="185"/>
      <c r="G1055" s="185"/>
      <c r="H1055" s="185"/>
      <c r="I1055" s="185"/>
      <c r="J1055" s="185"/>
    </row>
    <row r="1056" spans="1:10">
      <c r="A1056" s="185"/>
      <c r="B1056" s="185"/>
      <c r="C1056" s="185"/>
      <c r="D1056" s="185"/>
      <c r="E1056" s="191"/>
      <c r="F1056" s="185"/>
      <c r="G1056" s="185"/>
      <c r="H1056" s="185"/>
      <c r="I1056" s="185"/>
      <c r="J1056" s="185"/>
    </row>
    <row r="1057" spans="1:10">
      <c r="A1057" s="185"/>
      <c r="B1057" s="185"/>
      <c r="C1057" s="185"/>
      <c r="D1057" s="185"/>
      <c r="E1057" s="191"/>
      <c r="F1057" s="185"/>
      <c r="G1057" s="185"/>
      <c r="H1057" s="185"/>
      <c r="I1057" s="185"/>
      <c r="J1057" s="185"/>
    </row>
    <row r="1058" spans="1:10">
      <c r="A1058" s="185"/>
      <c r="B1058" s="185"/>
      <c r="C1058" s="185"/>
      <c r="D1058" s="185"/>
      <c r="E1058" s="191"/>
      <c r="F1058" s="185"/>
      <c r="G1058" s="185"/>
      <c r="H1058" s="185"/>
      <c r="I1058" s="185"/>
      <c r="J1058" s="185"/>
    </row>
    <row r="1059" spans="1:10">
      <c r="A1059" s="185"/>
      <c r="B1059" s="185"/>
      <c r="C1059" s="185"/>
      <c r="D1059" s="185"/>
      <c r="E1059" s="191"/>
      <c r="F1059" s="185"/>
      <c r="G1059" s="185"/>
      <c r="H1059" s="185"/>
      <c r="I1059" s="185"/>
      <c r="J1059" s="185"/>
    </row>
    <row r="1060" spans="1:10">
      <c r="A1060" s="185"/>
      <c r="B1060" s="185"/>
      <c r="C1060" s="185"/>
      <c r="D1060" s="185"/>
      <c r="E1060" s="191"/>
      <c r="F1060" s="185"/>
      <c r="G1060" s="185"/>
      <c r="H1060" s="185"/>
      <c r="I1060" s="185"/>
      <c r="J1060" s="185"/>
    </row>
    <row r="1061" spans="1:10">
      <c r="A1061" s="185"/>
      <c r="B1061" s="185"/>
      <c r="C1061" s="185"/>
      <c r="D1061" s="185"/>
      <c r="E1061" s="191"/>
      <c r="F1061" s="185"/>
      <c r="G1061" s="185"/>
      <c r="H1061" s="185"/>
      <c r="I1061" s="185"/>
      <c r="J1061" s="185"/>
    </row>
    <row r="1062" spans="1:10">
      <c r="A1062" s="185"/>
      <c r="B1062" s="185"/>
      <c r="C1062" s="185"/>
      <c r="D1062" s="185"/>
      <c r="E1062" s="191"/>
      <c r="F1062" s="185"/>
      <c r="G1062" s="185"/>
      <c r="H1062" s="185"/>
      <c r="I1062" s="185"/>
      <c r="J1062" s="185"/>
    </row>
    <row r="1063" spans="1:10">
      <c r="A1063" s="185"/>
      <c r="B1063" s="185"/>
      <c r="C1063" s="185"/>
      <c r="D1063" s="185"/>
      <c r="E1063" s="191"/>
      <c r="F1063" s="185"/>
      <c r="G1063" s="185"/>
      <c r="H1063" s="185"/>
      <c r="I1063" s="185"/>
      <c r="J1063" s="185"/>
    </row>
    <row r="1064" spans="1:10">
      <c r="A1064" s="185"/>
      <c r="B1064" s="185"/>
      <c r="C1064" s="185"/>
      <c r="D1064" s="185"/>
      <c r="E1064" s="191"/>
      <c r="F1064" s="185"/>
      <c r="G1064" s="185"/>
      <c r="H1064" s="185"/>
      <c r="I1064" s="185"/>
      <c r="J1064" s="185"/>
    </row>
    <row r="1065" spans="1:10">
      <c r="A1065" s="185"/>
      <c r="B1065" s="185"/>
      <c r="C1065" s="185"/>
      <c r="D1065" s="185"/>
      <c r="E1065" s="191"/>
      <c r="F1065" s="185"/>
      <c r="G1065" s="185"/>
      <c r="H1065" s="185"/>
      <c r="I1065" s="185"/>
      <c r="J1065" s="185"/>
    </row>
    <row r="1066" spans="1:10">
      <c r="A1066" s="185"/>
      <c r="B1066" s="185"/>
      <c r="C1066" s="185"/>
      <c r="D1066" s="185"/>
      <c r="E1066" s="191"/>
      <c r="F1066" s="185"/>
      <c r="G1066" s="185"/>
      <c r="H1066" s="185"/>
      <c r="I1066" s="185"/>
      <c r="J1066" s="185"/>
    </row>
    <row r="1067" spans="1:10">
      <c r="A1067" s="185"/>
      <c r="B1067" s="185"/>
      <c r="C1067" s="185"/>
      <c r="D1067" s="185"/>
      <c r="E1067" s="191"/>
      <c r="F1067" s="185"/>
      <c r="G1067" s="185"/>
      <c r="H1067" s="185"/>
      <c r="I1067" s="185"/>
      <c r="J1067" s="185"/>
    </row>
    <row r="1068" spans="1:10">
      <c r="A1068" s="185"/>
      <c r="B1068" s="185"/>
      <c r="C1068" s="185"/>
      <c r="D1068" s="185"/>
      <c r="E1068" s="191"/>
      <c r="F1068" s="185"/>
      <c r="G1068" s="185"/>
      <c r="H1068" s="185"/>
      <c r="I1068" s="185"/>
      <c r="J1068" s="185"/>
    </row>
    <row r="1069" spans="1:10">
      <c r="A1069" s="185"/>
      <c r="B1069" s="185"/>
      <c r="C1069" s="185"/>
      <c r="D1069" s="185"/>
      <c r="E1069" s="191"/>
      <c r="F1069" s="185"/>
      <c r="G1069" s="185"/>
      <c r="H1069" s="185"/>
      <c r="I1069" s="185"/>
      <c r="J1069" s="185"/>
    </row>
    <row r="1070" spans="1:10">
      <c r="A1070" s="185"/>
      <c r="B1070" s="185"/>
      <c r="C1070" s="185"/>
      <c r="D1070" s="185"/>
      <c r="E1070" s="191"/>
      <c r="F1070" s="185"/>
      <c r="G1070" s="185"/>
      <c r="H1070" s="185"/>
      <c r="I1070" s="185"/>
      <c r="J1070" s="185"/>
    </row>
    <row r="1071" spans="1:10">
      <c r="A1071" s="185"/>
      <c r="B1071" s="185"/>
      <c r="C1071" s="185"/>
      <c r="D1071" s="185"/>
      <c r="E1071" s="191"/>
      <c r="F1071" s="185"/>
      <c r="G1071" s="185"/>
      <c r="H1071" s="185"/>
      <c r="I1071" s="185"/>
      <c r="J1071" s="185"/>
    </row>
    <row r="1072" spans="1:10">
      <c r="A1072" s="185"/>
      <c r="B1072" s="185"/>
      <c r="C1072" s="185"/>
      <c r="D1072" s="185"/>
      <c r="E1072" s="191"/>
      <c r="F1072" s="185"/>
      <c r="G1072" s="185"/>
      <c r="H1072" s="185"/>
      <c r="I1072" s="185"/>
      <c r="J1072" s="185"/>
    </row>
    <row r="1073" spans="1:10">
      <c r="A1073" s="185"/>
      <c r="B1073" s="185"/>
      <c r="C1073" s="185"/>
      <c r="D1073" s="185"/>
      <c r="E1073" s="191"/>
      <c r="F1073" s="185"/>
      <c r="G1073" s="185"/>
      <c r="H1073" s="185"/>
      <c r="I1073" s="185"/>
      <c r="J1073" s="185"/>
    </row>
    <row r="1074" spans="1:10">
      <c r="A1074" s="185"/>
      <c r="B1074" s="185"/>
      <c r="C1074" s="185"/>
      <c r="D1074" s="185"/>
      <c r="E1074" s="191"/>
      <c r="F1074" s="185"/>
      <c r="G1074" s="185"/>
      <c r="H1074" s="185"/>
      <c r="I1074" s="185"/>
      <c r="J1074" s="185"/>
    </row>
    <row r="1075" spans="1:10">
      <c r="A1075" s="185"/>
      <c r="B1075" s="185"/>
      <c r="C1075" s="185"/>
      <c r="D1075" s="185"/>
      <c r="E1075" s="191"/>
      <c r="F1075" s="185"/>
      <c r="G1075" s="185"/>
      <c r="H1075" s="185"/>
      <c r="I1075" s="185"/>
      <c r="J1075" s="185"/>
    </row>
    <row r="1076" spans="1:10">
      <c r="A1076" s="185"/>
      <c r="B1076" s="185"/>
      <c r="C1076" s="185"/>
      <c r="D1076" s="185"/>
      <c r="E1076" s="191"/>
      <c r="F1076" s="185"/>
      <c r="G1076" s="185"/>
      <c r="H1076" s="185"/>
      <c r="I1076" s="185"/>
      <c r="J1076" s="185"/>
    </row>
    <row r="1077" spans="1:10">
      <c r="A1077" s="185"/>
      <c r="B1077" s="185"/>
      <c r="C1077" s="185"/>
      <c r="D1077" s="185"/>
      <c r="E1077" s="191"/>
      <c r="F1077" s="185"/>
      <c r="G1077" s="185"/>
      <c r="H1077" s="185"/>
      <c r="I1077" s="185"/>
      <c r="J1077" s="185"/>
    </row>
    <row r="1078" spans="1:10">
      <c r="A1078" s="185"/>
      <c r="B1078" s="185"/>
      <c r="C1078" s="185"/>
      <c r="D1078" s="185"/>
      <c r="E1078" s="191"/>
      <c r="F1078" s="185"/>
      <c r="G1078" s="185"/>
      <c r="H1078" s="185"/>
      <c r="I1078" s="185"/>
      <c r="J1078" s="185"/>
    </row>
    <row r="1079" spans="1:10">
      <c r="A1079" s="185"/>
      <c r="B1079" s="185"/>
      <c r="C1079" s="185"/>
      <c r="D1079" s="185"/>
      <c r="E1079" s="191"/>
      <c r="F1079" s="185"/>
      <c r="G1079" s="185"/>
      <c r="H1079" s="185"/>
      <c r="I1079" s="185"/>
      <c r="J1079" s="185"/>
    </row>
    <row r="1080" spans="1:10">
      <c r="A1080" s="185"/>
      <c r="B1080" s="185"/>
      <c r="C1080" s="185"/>
      <c r="D1080" s="185"/>
      <c r="E1080" s="191"/>
      <c r="F1080" s="185"/>
      <c r="G1080" s="185"/>
      <c r="H1080" s="185"/>
      <c r="I1080" s="185"/>
      <c r="J1080" s="185"/>
    </row>
    <row r="1081" spans="1:10">
      <c r="A1081" s="185"/>
      <c r="B1081" s="185"/>
      <c r="C1081" s="185"/>
      <c r="D1081" s="185"/>
      <c r="E1081" s="191"/>
      <c r="F1081" s="185"/>
      <c r="G1081" s="185"/>
      <c r="H1081" s="185"/>
      <c r="I1081" s="185"/>
      <c r="J1081" s="185"/>
    </row>
    <row r="1082" spans="1:10">
      <c r="A1082" s="185"/>
      <c r="B1082" s="185"/>
      <c r="C1082" s="185"/>
      <c r="D1082" s="185"/>
      <c r="E1082" s="191"/>
      <c r="F1082" s="185"/>
      <c r="G1082" s="185"/>
      <c r="H1082" s="185"/>
      <c r="I1082" s="185"/>
      <c r="J1082" s="185"/>
    </row>
    <row r="1083" spans="1:10">
      <c r="A1083" s="185"/>
      <c r="B1083" s="185"/>
      <c r="C1083" s="185"/>
      <c r="D1083" s="185"/>
      <c r="E1083" s="191"/>
      <c r="F1083" s="185"/>
      <c r="G1083" s="185"/>
      <c r="H1083" s="185"/>
      <c r="I1083" s="185"/>
      <c r="J1083" s="185"/>
    </row>
    <row r="1084" spans="1:10">
      <c r="A1084" s="185"/>
      <c r="B1084" s="185"/>
      <c r="C1084" s="185"/>
      <c r="D1084" s="185"/>
      <c r="E1084" s="191"/>
      <c r="F1084" s="185"/>
      <c r="G1084" s="185"/>
      <c r="H1084" s="185"/>
      <c r="I1084" s="185"/>
      <c r="J1084" s="185"/>
    </row>
    <row r="1085" spans="1:10">
      <c r="A1085" s="185"/>
      <c r="B1085" s="185"/>
      <c r="C1085" s="185"/>
      <c r="D1085" s="185"/>
      <c r="E1085" s="191"/>
      <c r="F1085" s="185"/>
      <c r="G1085" s="185"/>
      <c r="H1085" s="185"/>
      <c r="I1085" s="185"/>
      <c r="J1085" s="185"/>
    </row>
    <row r="1086" spans="1:10">
      <c r="A1086" s="185"/>
      <c r="B1086" s="185"/>
      <c r="C1086" s="185"/>
      <c r="D1086" s="185"/>
      <c r="E1086" s="191"/>
      <c r="F1086" s="185"/>
      <c r="G1086" s="185"/>
      <c r="H1086" s="185"/>
      <c r="I1086" s="185"/>
      <c r="J1086" s="185"/>
    </row>
    <row r="1087" spans="1:10">
      <c r="A1087" s="185"/>
      <c r="B1087" s="185"/>
      <c r="C1087" s="185"/>
      <c r="D1087" s="185"/>
      <c r="E1087" s="191"/>
      <c r="F1087" s="185"/>
      <c r="G1087" s="185"/>
      <c r="H1087" s="185"/>
      <c r="I1087" s="185"/>
      <c r="J1087" s="185"/>
    </row>
    <row r="1088" spans="1:10">
      <c r="A1088" s="185"/>
      <c r="B1088" s="185"/>
      <c r="C1088" s="185"/>
      <c r="D1088" s="185"/>
      <c r="E1088" s="191"/>
      <c r="F1088" s="185"/>
      <c r="G1088" s="185"/>
      <c r="H1088" s="185"/>
      <c r="I1088" s="185"/>
      <c r="J1088" s="185"/>
    </row>
    <row r="1089" spans="1:10">
      <c r="A1089" s="185"/>
      <c r="B1089" s="185"/>
      <c r="C1089" s="185"/>
      <c r="D1089" s="185"/>
      <c r="E1089" s="191"/>
      <c r="F1089" s="185"/>
      <c r="G1089" s="185"/>
      <c r="H1089" s="185"/>
      <c r="I1089" s="185"/>
      <c r="J1089" s="185"/>
    </row>
    <row r="1090" spans="1:10">
      <c r="A1090" s="185"/>
      <c r="B1090" s="185"/>
      <c r="C1090" s="185"/>
      <c r="D1090" s="185"/>
      <c r="E1090" s="191"/>
      <c r="F1090" s="185"/>
      <c r="G1090" s="185"/>
      <c r="H1090" s="185"/>
      <c r="I1090" s="185"/>
      <c r="J1090" s="185"/>
    </row>
    <row r="1091" spans="1:10">
      <c r="A1091" s="185"/>
      <c r="B1091" s="185"/>
      <c r="C1091" s="185"/>
      <c r="D1091" s="185"/>
      <c r="E1091" s="191"/>
      <c r="F1091" s="185"/>
      <c r="G1091" s="185"/>
      <c r="H1091" s="185"/>
      <c r="I1091" s="185"/>
      <c r="J1091" s="185"/>
    </row>
    <row r="1092" spans="1:10">
      <c r="A1092" s="185"/>
      <c r="B1092" s="185"/>
      <c r="C1092" s="185"/>
      <c r="D1092" s="185"/>
      <c r="E1092" s="191"/>
      <c r="F1092" s="185"/>
      <c r="G1092" s="185"/>
      <c r="H1092" s="185"/>
      <c r="I1092" s="185"/>
      <c r="J1092" s="185"/>
    </row>
    <row r="1093" spans="1:10">
      <c r="A1093" s="185"/>
      <c r="B1093" s="185"/>
      <c r="C1093" s="185"/>
      <c r="D1093" s="185"/>
      <c r="E1093" s="191"/>
      <c r="F1093" s="185"/>
      <c r="G1093" s="185"/>
      <c r="H1093" s="185"/>
      <c r="I1093" s="185"/>
      <c r="J1093" s="185"/>
    </row>
    <row r="1094" spans="1:10">
      <c r="A1094" s="185"/>
      <c r="B1094" s="185"/>
      <c r="C1094" s="185"/>
      <c r="D1094" s="185"/>
      <c r="E1094" s="191"/>
      <c r="F1094" s="185"/>
      <c r="G1094" s="185"/>
      <c r="H1094" s="185"/>
      <c r="I1094" s="185"/>
      <c r="J1094" s="185"/>
    </row>
    <row r="1095" spans="1:10">
      <c r="A1095" s="185"/>
      <c r="B1095" s="185"/>
      <c r="C1095" s="185"/>
      <c r="D1095" s="185"/>
      <c r="E1095" s="191"/>
      <c r="F1095" s="185"/>
      <c r="G1095" s="185"/>
      <c r="H1095" s="185"/>
      <c r="I1095" s="185"/>
      <c r="J1095" s="185"/>
    </row>
    <row r="1096" spans="1:10">
      <c r="A1096" s="185"/>
      <c r="B1096" s="185"/>
      <c r="C1096" s="185"/>
      <c r="D1096" s="185"/>
      <c r="E1096" s="191"/>
      <c r="F1096" s="185"/>
      <c r="G1096" s="185"/>
      <c r="H1096" s="185"/>
      <c r="I1096" s="185"/>
      <c r="J1096" s="185"/>
    </row>
    <row r="1097" spans="1:10">
      <c r="A1097" s="185"/>
      <c r="B1097" s="185"/>
      <c r="C1097" s="185"/>
      <c r="D1097" s="185"/>
      <c r="E1097" s="191"/>
      <c r="F1097" s="185"/>
      <c r="G1097" s="185"/>
      <c r="H1097" s="185"/>
      <c r="I1097" s="185"/>
      <c r="J1097" s="185"/>
    </row>
    <row r="1098" spans="1:10">
      <c r="A1098" s="185"/>
      <c r="B1098" s="185"/>
      <c r="C1098" s="185"/>
      <c r="D1098" s="185"/>
      <c r="E1098" s="191"/>
      <c r="F1098" s="185"/>
      <c r="G1098" s="185"/>
      <c r="H1098" s="185"/>
      <c r="I1098" s="185"/>
      <c r="J1098" s="185"/>
    </row>
    <row r="1099" spans="1:10">
      <c r="A1099" s="185"/>
      <c r="B1099" s="185"/>
      <c r="C1099" s="185"/>
      <c r="D1099" s="185"/>
      <c r="E1099" s="191"/>
      <c r="F1099" s="185"/>
      <c r="G1099" s="185"/>
      <c r="H1099" s="185"/>
      <c r="I1099" s="185"/>
      <c r="J1099" s="185"/>
    </row>
    <row r="1100" spans="1:10">
      <c r="A1100" s="185"/>
      <c r="B1100" s="185"/>
      <c r="C1100" s="185"/>
      <c r="D1100" s="185"/>
      <c r="E1100" s="191"/>
      <c r="F1100" s="185"/>
      <c r="G1100" s="185"/>
      <c r="H1100" s="185"/>
      <c r="I1100" s="185"/>
      <c r="J1100" s="185"/>
    </row>
    <row r="1101" spans="1:10">
      <c r="A1101" s="185"/>
      <c r="B1101" s="185"/>
      <c r="C1101" s="185"/>
      <c r="D1101" s="185"/>
      <c r="E1101" s="191"/>
      <c r="F1101" s="185"/>
      <c r="G1101" s="185"/>
      <c r="H1101" s="185"/>
      <c r="I1101" s="185"/>
      <c r="J1101" s="185"/>
    </row>
    <row r="1102" spans="1:10">
      <c r="A1102" s="185"/>
      <c r="B1102" s="185"/>
      <c r="C1102" s="185"/>
      <c r="D1102" s="185"/>
      <c r="E1102" s="191"/>
      <c r="F1102" s="185"/>
      <c r="G1102" s="185"/>
      <c r="H1102" s="185"/>
      <c r="I1102" s="185"/>
      <c r="J1102" s="185"/>
    </row>
    <row r="1103" spans="1:10">
      <c r="A1103" s="185"/>
      <c r="B1103" s="185"/>
      <c r="C1103" s="185"/>
      <c r="D1103" s="185"/>
      <c r="E1103" s="191"/>
      <c r="F1103" s="185"/>
      <c r="G1103" s="185"/>
      <c r="H1103" s="185"/>
      <c r="I1103" s="185"/>
      <c r="J1103" s="185"/>
    </row>
    <row r="1104" spans="1:10">
      <c r="A1104" s="185"/>
      <c r="B1104" s="185"/>
      <c r="C1104" s="185"/>
      <c r="D1104" s="185"/>
      <c r="E1104" s="191"/>
      <c r="F1104" s="185"/>
      <c r="G1104" s="185"/>
      <c r="H1104" s="185"/>
      <c r="I1104" s="185"/>
      <c r="J1104" s="185"/>
    </row>
    <row r="1105" spans="1:10">
      <c r="A1105" s="185"/>
      <c r="B1105" s="185"/>
      <c r="C1105" s="185"/>
      <c r="D1105" s="185"/>
      <c r="E1105" s="191"/>
      <c r="F1105" s="185"/>
      <c r="G1105" s="185"/>
      <c r="H1105" s="185"/>
      <c r="I1105" s="185"/>
      <c r="J1105" s="185"/>
    </row>
    <row r="1106" spans="1:10">
      <c r="A1106" s="185"/>
      <c r="B1106" s="185"/>
      <c r="C1106" s="185"/>
      <c r="D1106" s="185"/>
      <c r="E1106" s="191"/>
      <c r="F1106" s="185"/>
      <c r="G1106" s="185"/>
      <c r="H1106" s="185"/>
      <c r="I1106" s="185"/>
      <c r="J1106" s="185"/>
    </row>
    <row r="1107" spans="1:10">
      <c r="A1107" s="185"/>
      <c r="B1107" s="185"/>
      <c r="C1107" s="185"/>
      <c r="D1107" s="185"/>
      <c r="E1107" s="191"/>
      <c r="F1107" s="185"/>
      <c r="G1107" s="185"/>
      <c r="H1107" s="185"/>
      <c r="I1107" s="185"/>
      <c r="J1107" s="185"/>
    </row>
    <row r="1108" spans="1:10">
      <c r="A1108" s="185"/>
      <c r="B1108" s="185"/>
      <c r="C1108" s="185"/>
      <c r="D1108" s="185"/>
      <c r="E1108" s="191"/>
      <c r="F1108" s="185"/>
      <c r="G1108" s="185"/>
      <c r="H1108" s="185"/>
      <c r="I1108" s="185"/>
      <c r="J1108" s="185"/>
    </row>
    <row r="1109" spans="1:10">
      <c r="A1109" s="185"/>
      <c r="B1109" s="185"/>
      <c r="C1109" s="185"/>
      <c r="D1109" s="185"/>
      <c r="E1109" s="191"/>
      <c r="F1109" s="185"/>
      <c r="G1109" s="185"/>
      <c r="H1109" s="185"/>
      <c r="I1109" s="185"/>
      <c r="J1109" s="185"/>
    </row>
    <row r="1110" spans="1:10">
      <c r="A1110" s="185"/>
      <c r="B1110" s="185"/>
      <c r="C1110" s="185"/>
      <c r="D1110" s="185"/>
      <c r="E1110" s="191"/>
      <c r="F1110" s="185"/>
      <c r="G1110" s="185"/>
      <c r="H1110" s="185"/>
      <c r="I1110" s="185"/>
      <c r="J1110" s="185"/>
    </row>
    <row r="1111" spans="1:10">
      <c r="A1111" s="185"/>
      <c r="B1111" s="185"/>
      <c r="C1111" s="185"/>
      <c r="D1111" s="185"/>
      <c r="E1111" s="191"/>
      <c r="F1111" s="185"/>
      <c r="G1111" s="185"/>
      <c r="H1111" s="185"/>
      <c r="I1111" s="185"/>
      <c r="J1111" s="185"/>
    </row>
    <row r="1112" spans="1:10">
      <c r="A1112" s="185"/>
      <c r="B1112" s="185"/>
      <c r="C1112" s="185"/>
      <c r="D1112" s="185"/>
      <c r="E1112" s="191"/>
      <c r="F1112" s="185"/>
      <c r="G1112" s="185"/>
      <c r="H1112" s="185"/>
      <c r="I1112" s="185"/>
      <c r="J1112" s="185"/>
    </row>
    <row r="1113" spans="1:10">
      <c r="A1113" s="185"/>
      <c r="B1113" s="185"/>
      <c r="C1113" s="185"/>
      <c r="D1113" s="185"/>
      <c r="E1113" s="191"/>
      <c r="F1113" s="185"/>
      <c r="G1113" s="185"/>
      <c r="H1113" s="185"/>
      <c r="I1113" s="185"/>
      <c r="J1113" s="185"/>
    </row>
    <row r="1114" spans="1:10">
      <c r="A1114" s="185"/>
      <c r="B1114" s="185"/>
      <c r="C1114" s="185"/>
      <c r="D1114" s="185"/>
      <c r="E1114" s="191"/>
      <c r="F1114" s="185"/>
      <c r="G1114" s="185"/>
      <c r="H1114" s="185"/>
      <c r="I1114" s="185"/>
      <c r="J1114" s="185"/>
    </row>
    <row r="1115" spans="1:10">
      <c r="A1115" s="185"/>
      <c r="B1115" s="185"/>
      <c r="C1115" s="185"/>
      <c r="D1115" s="185"/>
      <c r="E1115" s="191"/>
      <c r="F1115" s="185"/>
      <c r="G1115" s="185"/>
      <c r="H1115" s="185"/>
      <c r="I1115" s="185"/>
      <c r="J1115" s="185"/>
    </row>
    <row r="1116" spans="1:10">
      <c r="A1116" s="185"/>
      <c r="B1116" s="185"/>
      <c r="C1116" s="185"/>
      <c r="D1116" s="185"/>
      <c r="E1116" s="191"/>
      <c r="F1116" s="185"/>
      <c r="G1116" s="185"/>
      <c r="H1116" s="185"/>
      <c r="I1116" s="185"/>
      <c r="J1116" s="185"/>
    </row>
    <row r="1117" spans="1:10">
      <c r="A1117" s="185"/>
      <c r="B1117" s="185"/>
      <c r="C1117" s="185"/>
      <c r="D1117" s="185"/>
      <c r="E1117" s="191"/>
      <c r="F1117" s="185"/>
      <c r="G1117" s="185"/>
      <c r="H1117" s="185"/>
      <c r="I1117" s="185"/>
      <c r="J1117" s="185"/>
    </row>
    <row r="1118" spans="1:10">
      <c r="A1118" s="185"/>
      <c r="B1118" s="185"/>
      <c r="C1118" s="185"/>
      <c r="D1118" s="185"/>
      <c r="E1118" s="191"/>
      <c r="F1118" s="185"/>
      <c r="G1118" s="185"/>
      <c r="H1118" s="185"/>
      <c r="I1118" s="185"/>
      <c r="J1118" s="185"/>
    </row>
    <row r="1119" spans="1:10">
      <c r="A1119" s="185"/>
      <c r="B1119" s="185"/>
      <c r="C1119" s="185"/>
      <c r="D1119" s="185"/>
      <c r="E1119" s="191"/>
      <c r="F1119" s="185"/>
      <c r="G1119" s="185"/>
      <c r="H1119" s="185"/>
      <c r="I1119" s="185"/>
      <c r="J1119" s="185"/>
    </row>
    <row r="1120" spans="1:10">
      <c r="A1120" s="185"/>
      <c r="B1120" s="185"/>
      <c r="C1120" s="185"/>
      <c r="D1120" s="185"/>
      <c r="E1120" s="191"/>
      <c r="F1120" s="185"/>
      <c r="G1120" s="185"/>
      <c r="H1120" s="185"/>
      <c r="I1120" s="185"/>
      <c r="J1120" s="185"/>
    </row>
    <row r="1121" spans="1:10">
      <c r="A1121" s="185"/>
      <c r="B1121" s="185"/>
      <c r="C1121" s="185"/>
      <c r="D1121" s="185"/>
      <c r="E1121" s="191"/>
      <c r="F1121" s="185"/>
      <c r="G1121" s="185"/>
      <c r="H1121" s="185"/>
      <c r="I1121" s="185"/>
      <c r="J1121" s="185"/>
    </row>
    <row r="1122" spans="1:10">
      <c r="A1122" s="185"/>
      <c r="B1122" s="185"/>
      <c r="C1122" s="185"/>
      <c r="D1122" s="185"/>
      <c r="E1122" s="191"/>
      <c r="F1122" s="185"/>
      <c r="G1122" s="185"/>
      <c r="H1122" s="185"/>
      <c r="I1122" s="185"/>
      <c r="J1122" s="185"/>
    </row>
    <row r="1123" spans="1:10">
      <c r="A1123" s="185"/>
      <c r="B1123" s="185"/>
      <c r="C1123" s="185"/>
      <c r="D1123" s="185"/>
      <c r="E1123" s="191"/>
      <c r="F1123" s="185"/>
      <c r="G1123" s="185"/>
      <c r="H1123" s="185"/>
      <c r="I1123" s="185"/>
      <c r="J1123" s="185"/>
    </row>
    <row r="1124" spans="1:10">
      <c r="A1124" s="185"/>
      <c r="B1124" s="185"/>
      <c r="C1124" s="185"/>
      <c r="D1124" s="185"/>
      <c r="E1124" s="191"/>
      <c r="F1124" s="185"/>
      <c r="G1124" s="185"/>
      <c r="H1124" s="185"/>
      <c r="I1124" s="185"/>
      <c r="J1124" s="185"/>
    </row>
    <row r="1125" spans="1:10">
      <c r="A1125" s="185"/>
      <c r="B1125" s="185"/>
      <c r="C1125" s="185"/>
      <c r="D1125" s="185"/>
      <c r="E1125" s="191"/>
      <c r="F1125" s="185"/>
      <c r="G1125" s="185"/>
      <c r="H1125" s="185"/>
      <c r="I1125" s="185"/>
      <c r="J1125" s="185"/>
    </row>
    <row r="1126" spans="1:10">
      <c r="A1126" s="185"/>
      <c r="B1126" s="185"/>
      <c r="C1126" s="185"/>
      <c r="D1126" s="185"/>
      <c r="E1126" s="191"/>
      <c r="F1126" s="185"/>
      <c r="G1126" s="185"/>
      <c r="H1126" s="185"/>
      <c r="I1126" s="185"/>
      <c r="J1126" s="185"/>
    </row>
    <row r="1127" spans="1:10">
      <c r="A1127" s="185"/>
      <c r="B1127" s="185"/>
      <c r="C1127" s="185"/>
      <c r="D1127" s="185"/>
      <c r="E1127" s="191"/>
      <c r="F1127" s="185"/>
      <c r="G1127" s="185"/>
      <c r="H1127" s="185"/>
      <c r="I1127" s="185"/>
      <c r="J1127" s="185"/>
    </row>
    <row r="1128" spans="1:10">
      <c r="A1128" s="185"/>
      <c r="B1128" s="185"/>
      <c r="C1128" s="185"/>
      <c r="D1128" s="185"/>
      <c r="E1128" s="191"/>
      <c r="F1128" s="185"/>
      <c r="G1128" s="185"/>
      <c r="H1128" s="185"/>
      <c r="I1128" s="185"/>
      <c r="J1128" s="185"/>
    </row>
    <row r="1129" spans="1:10">
      <c r="A1129" s="185"/>
      <c r="B1129" s="185"/>
      <c r="C1129" s="185"/>
      <c r="D1129" s="185"/>
      <c r="E1129" s="191"/>
      <c r="F1129" s="185"/>
      <c r="G1129" s="185"/>
      <c r="H1129" s="185"/>
      <c r="I1129" s="185"/>
      <c r="J1129" s="185"/>
    </row>
    <row r="1130" spans="1:10">
      <c r="A1130" s="185"/>
      <c r="B1130" s="185"/>
      <c r="C1130" s="185"/>
      <c r="D1130" s="185"/>
      <c r="E1130" s="191"/>
      <c r="F1130" s="185"/>
      <c r="G1130" s="185"/>
      <c r="H1130" s="185"/>
      <c r="I1130" s="185"/>
      <c r="J1130" s="185"/>
    </row>
    <row r="1131" spans="1:10">
      <c r="A1131" s="185"/>
      <c r="B1131" s="185"/>
      <c r="C1131" s="185"/>
      <c r="D1131" s="185"/>
      <c r="E1131" s="191"/>
      <c r="F1131" s="185"/>
      <c r="G1131" s="185"/>
      <c r="H1131" s="185"/>
      <c r="I1131" s="185"/>
      <c r="J1131" s="185"/>
    </row>
    <row r="1132" spans="1:10">
      <c r="A1132" s="185"/>
      <c r="B1132" s="185"/>
      <c r="C1132" s="185"/>
      <c r="D1132" s="185"/>
      <c r="E1132" s="191"/>
      <c r="F1132" s="185"/>
      <c r="G1132" s="185"/>
      <c r="H1132" s="185"/>
      <c r="I1132" s="185"/>
      <c r="J1132" s="185"/>
    </row>
    <row r="1133" spans="1:10">
      <c r="A1133" s="185"/>
      <c r="B1133" s="185"/>
      <c r="C1133" s="185"/>
      <c r="D1133" s="185"/>
      <c r="E1133" s="191"/>
      <c r="F1133" s="185"/>
      <c r="G1133" s="185"/>
      <c r="H1133" s="185"/>
      <c r="I1133" s="185"/>
      <c r="J1133" s="185"/>
    </row>
    <row r="1134" spans="1:10">
      <c r="A1134" s="185"/>
      <c r="B1134" s="185"/>
      <c r="C1134" s="185"/>
      <c r="D1134" s="185"/>
      <c r="E1134" s="191"/>
      <c r="F1134" s="185"/>
      <c r="G1134" s="185"/>
      <c r="H1134" s="185"/>
      <c r="I1134" s="185"/>
      <c r="J1134" s="185"/>
    </row>
    <row r="1135" spans="1:10">
      <c r="A1135" s="185"/>
      <c r="B1135" s="185"/>
      <c r="C1135" s="185"/>
      <c r="D1135" s="185"/>
      <c r="E1135" s="191"/>
      <c r="F1135" s="185"/>
      <c r="G1135" s="185"/>
      <c r="H1135" s="185"/>
      <c r="I1135" s="185"/>
      <c r="J1135" s="185"/>
    </row>
    <row r="1136" spans="1:10">
      <c r="A1136" s="185"/>
      <c r="B1136" s="185"/>
      <c r="C1136" s="185"/>
      <c r="D1136" s="185"/>
      <c r="E1136" s="191"/>
      <c r="F1136" s="185"/>
      <c r="G1136" s="185"/>
      <c r="H1136" s="185"/>
      <c r="I1136" s="185"/>
      <c r="J1136" s="185"/>
    </row>
    <row r="1137" spans="1:10">
      <c r="A1137" s="185"/>
      <c r="B1137" s="185"/>
      <c r="C1137" s="185"/>
      <c r="D1137" s="185"/>
      <c r="E1137" s="191"/>
      <c r="F1137" s="185"/>
      <c r="G1137" s="185"/>
      <c r="H1137" s="185"/>
      <c r="I1137" s="185"/>
      <c r="J1137" s="185"/>
    </row>
    <row r="1138" spans="1:10">
      <c r="A1138" s="185"/>
      <c r="B1138" s="185"/>
      <c r="C1138" s="185"/>
      <c r="D1138" s="185"/>
      <c r="E1138" s="191"/>
      <c r="F1138" s="185"/>
      <c r="G1138" s="185"/>
      <c r="H1138" s="185"/>
      <c r="I1138" s="185"/>
      <c r="J1138" s="185"/>
    </row>
    <row r="1139" spans="1:10">
      <c r="A1139" s="185"/>
      <c r="B1139" s="185"/>
      <c r="C1139" s="185"/>
      <c r="D1139" s="185"/>
      <c r="E1139" s="191"/>
      <c r="F1139" s="185"/>
      <c r="G1139" s="185"/>
      <c r="H1139" s="185"/>
      <c r="I1139" s="185"/>
      <c r="J1139" s="185"/>
    </row>
    <row r="1140" spans="1:10">
      <c r="A1140" s="185"/>
      <c r="B1140" s="185"/>
      <c r="C1140" s="185"/>
      <c r="D1140" s="185"/>
      <c r="E1140" s="191"/>
      <c r="F1140" s="185"/>
      <c r="G1140" s="185"/>
      <c r="H1140" s="185"/>
      <c r="I1140" s="185"/>
      <c r="J1140" s="185"/>
    </row>
    <row r="1141" spans="1:10">
      <c r="A1141" s="185"/>
      <c r="B1141" s="185"/>
      <c r="C1141" s="185"/>
      <c r="D1141" s="185"/>
      <c r="E1141" s="191"/>
      <c r="F1141" s="185"/>
      <c r="G1141" s="185"/>
      <c r="H1141" s="185"/>
      <c r="I1141" s="185"/>
      <c r="J1141" s="185"/>
    </row>
    <row r="1142" spans="1:10">
      <c r="A1142" s="185"/>
      <c r="B1142" s="185"/>
      <c r="C1142" s="185"/>
      <c r="D1142" s="185"/>
      <c r="E1142" s="191"/>
      <c r="F1142" s="185"/>
      <c r="G1142" s="185"/>
      <c r="H1142" s="185"/>
      <c r="I1142" s="185"/>
      <c r="J1142" s="185"/>
    </row>
    <row r="1143" spans="1:10">
      <c r="A1143" s="185"/>
      <c r="B1143" s="185"/>
      <c r="C1143" s="185"/>
      <c r="D1143" s="185"/>
      <c r="E1143" s="191"/>
      <c r="F1143" s="185"/>
      <c r="G1143" s="185"/>
      <c r="H1143" s="185"/>
      <c r="I1143" s="185"/>
      <c r="J1143" s="185"/>
    </row>
    <row r="1144" spans="1:10">
      <c r="A1144" s="185"/>
      <c r="B1144" s="185"/>
      <c r="C1144" s="185"/>
      <c r="D1144" s="185"/>
      <c r="E1144" s="191"/>
      <c r="F1144" s="185"/>
      <c r="G1144" s="185"/>
      <c r="H1144" s="185"/>
      <c r="I1144" s="185"/>
      <c r="J1144" s="185"/>
    </row>
    <row r="1145" spans="1:10">
      <c r="A1145" s="185"/>
      <c r="B1145" s="185"/>
      <c r="C1145" s="185"/>
      <c r="D1145" s="185"/>
      <c r="E1145" s="191"/>
      <c r="F1145" s="185"/>
      <c r="G1145" s="185"/>
      <c r="H1145" s="185"/>
      <c r="I1145" s="185"/>
      <c r="J1145" s="185"/>
    </row>
    <row r="1146" spans="1:10">
      <c r="A1146" s="185"/>
      <c r="B1146" s="185"/>
      <c r="C1146" s="185"/>
      <c r="D1146" s="185"/>
      <c r="E1146" s="191"/>
      <c r="F1146" s="185"/>
      <c r="G1146" s="185"/>
      <c r="H1146" s="185"/>
      <c r="I1146" s="185"/>
      <c r="J1146" s="185"/>
    </row>
    <row r="1147" spans="1:10">
      <c r="A1147" s="185"/>
      <c r="B1147" s="185"/>
      <c r="C1147" s="185"/>
      <c r="D1147" s="185"/>
      <c r="E1147" s="191"/>
      <c r="F1147" s="185"/>
      <c r="G1147" s="185"/>
      <c r="H1147" s="185"/>
      <c r="I1147" s="185"/>
      <c r="J1147" s="185"/>
    </row>
    <row r="1148" spans="1:10">
      <c r="A1148" s="185"/>
      <c r="B1148" s="185"/>
      <c r="C1148" s="185"/>
      <c r="D1148" s="185"/>
      <c r="E1148" s="191"/>
      <c r="F1148" s="185"/>
      <c r="G1148" s="185"/>
      <c r="H1148" s="185"/>
      <c r="I1148" s="185"/>
      <c r="J1148" s="185"/>
    </row>
    <row r="1149" spans="1:10">
      <c r="A1149" s="185"/>
      <c r="B1149" s="185"/>
      <c r="C1149" s="185"/>
      <c r="D1149" s="185"/>
      <c r="E1149" s="191"/>
      <c r="F1149" s="185"/>
      <c r="G1149" s="185"/>
      <c r="H1149" s="185"/>
      <c r="I1149" s="185"/>
      <c r="J1149" s="185"/>
    </row>
    <row r="1150" spans="1:10">
      <c r="A1150" s="185"/>
      <c r="B1150" s="185"/>
      <c r="C1150" s="185"/>
      <c r="D1150" s="185"/>
      <c r="E1150" s="191"/>
      <c r="F1150" s="185"/>
      <c r="G1150" s="185"/>
      <c r="H1150" s="185"/>
      <c r="I1150" s="185"/>
      <c r="J1150" s="185"/>
    </row>
    <row r="1151" spans="1:10">
      <c r="A1151" s="185"/>
      <c r="B1151" s="185"/>
      <c r="C1151" s="185"/>
      <c r="D1151" s="185"/>
      <c r="E1151" s="191"/>
      <c r="F1151" s="185"/>
      <c r="G1151" s="185"/>
      <c r="H1151" s="185"/>
      <c r="I1151" s="185"/>
      <c r="J1151" s="185"/>
    </row>
    <row r="1152" spans="1:10">
      <c r="A1152" s="185"/>
      <c r="B1152" s="185"/>
      <c r="C1152" s="185"/>
      <c r="D1152" s="185"/>
      <c r="E1152" s="191"/>
      <c r="F1152" s="185"/>
      <c r="G1152" s="185"/>
      <c r="H1152" s="185"/>
      <c r="I1152" s="185"/>
      <c r="J1152" s="185"/>
    </row>
    <row r="1153" spans="1:10">
      <c r="A1153" s="185"/>
      <c r="B1153" s="185"/>
      <c r="C1153" s="185"/>
      <c r="D1153" s="185"/>
      <c r="E1153" s="191"/>
      <c r="F1153" s="185"/>
      <c r="G1153" s="185"/>
      <c r="H1153" s="185"/>
      <c r="I1153" s="185"/>
      <c r="J1153" s="185"/>
    </row>
    <row r="1154" spans="1:10">
      <c r="A1154" s="185"/>
      <c r="B1154" s="185"/>
      <c r="C1154" s="185"/>
      <c r="D1154" s="185"/>
      <c r="E1154" s="191"/>
      <c r="F1154" s="185"/>
      <c r="G1154" s="185"/>
      <c r="H1154" s="185"/>
      <c r="I1154" s="185"/>
      <c r="J1154" s="185"/>
    </row>
    <row r="1155" spans="1:10">
      <c r="A1155" s="185"/>
      <c r="B1155" s="185"/>
      <c r="C1155" s="185"/>
      <c r="D1155" s="185"/>
      <c r="E1155" s="191"/>
      <c r="F1155" s="185"/>
      <c r="G1155" s="185"/>
      <c r="H1155" s="185"/>
      <c r="I1155" s="185"/>
      <c r="J1155" s="185"/>
    </row>
    <row r="1156" spans="1:10">
      <c r="A1156" s="185"/>
      <c r="B1156" s="185"/>
      <c r="C1156" s="185"/>
      <c r="D1156" s="185"/>
      <c r="E1156" s="191"/>
      <c r="F1156" s="185"/>
      <c r="G1156" s="185"/>
      <c r="H1156" s="185"/>
      <c r="I1156" s="185"/>
      <c r="J1156" s="185"/>
    </row>
    <row r="1157" spans="1:10">
      <c r="A1157" s="185"/>
      <c r="B1157" s="185"/>
      <c r="C1157" s="185"/>
      <c r="D1157" s="185"/>
      <c r="E1157" s="191"/>
      <c r="F1157" s="185"/>
      <c r="G1157" s="185"/>
      <c r="H1157" s="185"/>
      <c r="I1157" s="185"/>
      <c r="J1157" s="185"/>
    </row>
    <row r="1158" spans="1:10">
      <c r="A1158" s="185"/>
      <c r="B1158" s="185"/>
      <c r="C1158" s="185"/>
      <c r="D1158" s="185"/>
      <c r="E1158" s="191"/>
      <c r="F1158" s="185"/>
      <c r="G1158" s="185"/>
      <c r="H1158" s="185"/>
      <c r="I1158" s="185"/>
      <c r="J1158" s="185"/>
    </row>
    <row r="1159" spans="1:10">
      <c r="A1159" s="185"/>
      <c r="B1159" s="185"/>
      <c r="C1159" s="185"/>
      <c r="D1159" s="185"/>
      <c r="E1159" s="191"/>
      <c r="F1159" s="185"/>
      <c r="G1159" s="185"/>
      <c r="H1159" s="185"/>
      <c r="I1159" s="185"/>
      <c r="J1159" s="185"/>
    </row>
    <row r="1160" spans="1:10">
      <c r="A1160" s="185"/>
      <c r="B1160" s="185"/>
      <c r="C1160" s="185"/>
      <c r="D1160" s="185"/>
      <c r="E1160" s="191"/>
      <c r="F1160" s="185"/>
      <c r="G1160" s="185"/>
      <c r="H1160" s="185"/>
      <c r="I1160" s="185"/>
      <c r="J1160" s="185"/>
    </row>
    <row r="1161" spans="1:10">
      <c r="A1161" s="185"/>
      <c r="B1161" s="185"/>
      <c r="C1161" s="185"/>
      <c r="D1161" s="185"/>
      <c r="E1161" s="191"/>
      <c r="F1161" s="185"/>
      <c r="G1161" s="185"/>
      <c r="H1161" s="185"/>
      <c r="I1161" s="185"/>
      <c r="J1161" s="185"/>
    </row>
    <row r="1162" spans="1:10">
      <c r="A1162" s="185"/>
      <c r="B1162" s="185"/>
      <c r="C1162" s="185"/>
      <c r="D1162" s="185"/>
      <c r="E1162" s="191"/>
      <c r="F1162" s="185"/>
      <c r="G1162" s="185"/>
      <c r="H1162" s="185"/>
      <c r="I1162" s="185"/>
      <c r="J1162" s="185"/>
    </row>
    <row r="1163" spans="1:10">
      <c r="A1163" s="185"/>
      <c r="B1163" s="185"/>
      <c r="C1163" s="185"/>
      <c r="D1163" s="185"/>
      <c r="E1163" s="191"/>
      <c r="F1163" s="185"/>
      <c r="G1163" s="185"/>
      <c r="H1163" s="185"/>
      <c r="I1163" s="185"/>
      <c r="J1163" s="185"/>
    </row>
    <row r="1164" spans="1:10">
      <c r="A1164" s="185"/>
      <c r="B1164" s="185"/>
      <c r="C1164" s="185"/>
      <c r="D1164" s="185"/>
      <c r="E1164" s="191"/>
      <c r="F1164" s="185"/>
      <c r="G1164" s="185"/>
      <c r="H1164" s="185"/>
      <c r="I1164" s="185"/>
      <c r="J1164" s="185"/>
    </row>
    <row r="1165" spans="1:10">
      <c r="A1165" s="185"/>
      <c r="B1165" s="185"/>
      <c r="C1165" s="185"/>
      <c r="D1165" s="185"/>
      <c r="E1165" s="191"/>
      <c r="F1165" s="185"/>
      <c r="G1165" s="185"/>
      <c r="H1165" s="185"/>
      <c r="I1165" s="185"/>
      <c r="J1165" s="185"/>
    </row>
    <row r="1166" spans="1:10">
      <c r="A1166" s="185"/>
      <c r="B1166" s="185"/>
      <c r="C1166" s="185"/>
      <c r="D1166" s="185"/>
      <c r="E1166" s="191"/>
      <c r="F1166" s="185"/>
      <c r="G1166" s="185"/>
      <c r="H1166" s="185"/>
      <c r="I1166" s="185"/>
      <c r="J1166" s="185"/>
    </row>
    <row r="1167" spans="1:10">
      <c r="A1167" s="185"/>
      <c r="B1167" s="185"/>
      <c r="C1167" s="185"/>
      <c r="D1167" s="185"/>
      <c r="E1167" s="191"/>
      <c r="F1167" s="185"/>
      <c r="G1167" s="185"/>
      <c r="H1167" s="185"/>
      <c r="I1167" s="185"/>
      <c r="J1167" s="185"/>
    </row>
    <row r="1168" spans="1:10">
      <c r="A1168" s="185"/>
      <c r="B1168" s="185"/>
      <c r="C1168" s="185"/>
      <c r="D1168" s="185"/>
      <c r="E1168" s="191"/>
      <c r="F1168" s="185"/>
      <c r="G1168" s="185"/>
      <c r="H1168" s="185"/>
      <c r="I1168" s="185"/>
      <c r="J1168" s="185"/>
    </row>
    <row r="1169" spans="1:10">
      <c r="A1169" s="185"/>
      <c r="B1169" s="185"/>
      <c r="C1169" s="185"/>
      <c r="D1169" s="185"/>
      <c r="E1169" s="191"/>
      <c r="F1169" s="185"/>
      <c r="G1169" s="185"/>
      <c r="H1169" s="185"/>
      <c r="I1169" s="185"/>
      <c r="J1169" s="185"/>
    </row>
    <row r="1170" spans="1:10">
      <c r="A1170" s="185"/>
      <c r="B1170" s="185"/>
      <c r="C1170" s="185"/>
      <c r="D1170" s="185"/>
      <c r="E1170" s="191"/>
      <c r="F1170" s="185"/>
      <c r="G1170" s="185"/>
      <c r="H1170" s="185"/>
      <c r="I1170" s="185"/>
      <c r="J1170" s="185"/>
    </row>
    <row r="1171" spans="1:10">
      <c r="A1171" s="185"/>
      <c r="B1171" s="185"/>
      <c r="C1171" s="185"/>
      <c r="D1171" s="185"/>
      <c r="E1171" s="191"/>
      <c r="F1171" s="185"/>
      <c r="G1171" s="185"/>
      <c r="H1171" s="185"/>
      <c r="I1171" s="185"/>
      <c r="J1171" s="185"/>
    </row>
    <row r="1172" spans="1:10">
      <c r="A1172" s="185"/>
      <c r="B1172" s="185"/>
      <c r="C1172" s="185"/>
      <c r="D1172" s="185"/>
      <c r="E1172" s="191"/>
      <c r="F1172" s="185"/>
      <c r="G1172" s="185"/>
      <c r="H1172" s="185"/>
      <c r="I1172" s="185"/>
      <c r="J1172" s="185"/>
    </row>
    <row r="1173" spans="1:10">
      <c r="A1173" s="185"/>
      <c r="B1173" s="185"/>
      <c r="C1173" s="185"/>
      <c r="D1173" s="185"/>
      <c r="E1173" s="191"/>
      <c r="F1173" s="185"/>
      <c r="G1173" s="185"/>
      <c r="H1173" s="185"/>
      <c r="I1173" s="185"/>
      <c r="J1173" s="185"/>
    </row>
    <row r="1174" spans="1:10">
      <c r="A1174" s="185"/>
      <c r="B1174" s="185"/>
      <c r="C1174" s="185"/>
      <c r="D1174" s="185"/>
      <c r="E1174" s="191"/>
      <c r="F1174" s="185"/>
      <c r="G1174" s="185"/>
      <c r="H1174" s="185"/>
      <c r="I1174" s="185"/>
      <c r="J1174" s="185"/>
    </row>
    <row r="1175" spans="1:10">
      <c r="A1175" s="185"/>
      <c r="B1175" s="185"/>
      <c r="C1175" s="185"/>
      <c r="D1175" s="185"/>
      <c r="E1175" s="191"/>
      <c r="F1175" s="185"/>
      <c r="G1175" s="185"/>
      <c r="H1175" s="185"/>
      <c r="I1175" s="185"/>
      <c r="J1175" s="185"/>
    </row>
    <row r="1176" spans="1:10">
      <c r="A1176" s="185"/>
      <c r="B1176" s="185"/>
      <c r="C1176" s="185"/>
      <c r="D1176" s="185"/>
      <c r="E1176" s="191"/>
      <c r="F1176" s="185"/>
      <c r="G1176" s="185"/>
      <c r="H1176" s="185"/>
      <c r="I1176" s="185"/>
      <c r="J1176" s="185"/>
    </row>
    <row r="1177" spans="1:10">
      <c r="A1177" s="185"/>
      <c r="B1177" s="185"/>
      <c r="C1177" s="185"/>
      <c r="D1177" s="185"/>
      <c r="E1177" s="191"/>
      <c r="F1177" s="185"/>
      <c r="G1177" s="185"/>
      <c r="H1177" s="185"/>
      <c r="I1177" s="185"/>
      <c r="J1177" s="185"/>
    </row>
    <row r="1178" spans="1:10">
      <c r="A1178" s="185"/>
      <c r="B1178" s="185"/>
      <c r="C1178" s="185"/>
      <c r="D1178" s="185"/>
      <c r="E1178" s="191"/>
      <c r="F1178" s="185"/>
      <c r="G1178" s="185"/>
      <c r="H1178" s="185"/>
      <c r="I1178" s="185"/>
      <c r="J1178" s="185"/>
    </row>
    <row r="1179" spans="1:10">
      <c r="A1179" s="185"/>
      <c r="B1179" s="185"/>
      <c r="C1179" s="185"/>
      <c r="D1179" s="185"/>
      <c r="E1179" s="191"/>
      <c r="F1179" s="185"/>
      <c r="G1179" s="185"/>
      <c r="H1179" s="185"/>
      <c r="I1179" s="185"/>
      <c r="J1179" s="185"/>
    </row>
    <row r="1180" spans="1:10">
      <c r="A1180" s="185"/>
      <c r="B1180" s="185"/>
      <c r="C1180" s="185"/>
      <c r="D1180" s="185"/>
      <c r="E1180" s="191"/>
      <c r="F1180" s="185"/>
      <c r="G1180" s="185"/>
      <c r="H1180" s="185"/>
      <c r="I1180" s="185"/>
      <c r="J1180" s="185"/>
    </row>
    <row r="1181" spans="1:10">
      <c r="A1181" s="185"/>
      <c r="B1181" s="185"/>
      <c r="C1181" s="185"/>
      <c r="D1181" s="185"/>
      <c r="E1181" s="191"/>
      <c r="F1181" s="185"/>
      <c r="G1181" s="185"/>
      <c r="H1181" s="185"/>
      <c r="I1181" s="185"/>
      <c r="J1181" s="185"/>
    </row>
    <row r="1182" spans="1:10">
      <c r="A1182" s="185"/>
      <c r="B1182" s="185"/>
      <c r="C1182" s="185"/>
      <c r="D1182" s="185"/>
      <c r="E1182" s="191"/>
      <c r="F1182" s="185"/>
      <c r="G1182" s="185"/>
      <c r="H1182" s="185"/>
      <c r="I1182" s="185"/>
      <c r="J1182" s="185"/>
    </row>
    <row r="1183" spans="1:10">
      <c r="A1183" s="185"/>
      <c r="B1183" s="185"/>
      <c r="C1183" s="185"/>
      <c r="D1183" s="185"/>
      <c r="E1183" s="191"/>
      <c r="F1183" s="185"/>
      <c r="G1183" s="185"/>
      <c r="H1183" s="185"/>
      <c r="I1183" s="185"/>
      <c r="J1183" s="185"/>
    </row>
    <row r="1184" spans="1:10">
      <c r="A1184" s="185"/>
      <c r="B1184" s="185"/>
      <c r="C1184" s="185"/>
      <c r="D1184" s="185"/>
      <c r="E1184" s="191"/>
      <c r="F1184" s="185"/>
      <c r="G1184" s="185"/>
      <c r="H1184" s="185"/>
      <c r="I1184" s="185"/>
      <c r="J1184" s="185"/>
    </row>
    <row r="1185" spans="1:10">
      <c r="A1185" s="185"/>
      <c r="B1185" s="185"/>
      <c r="C1185" s="185"/>
      <c r="D1185" s="185"/>
      <c r="E1185" s="191"/>
      <c r="F1185" s="185"/>
      <c r="G1185" s="185"/>
      <c r="H1185" s="185"/>
      <c r="I1185" s="185"/>
      <c r="J1185" s="185"/>
    </row>
    <row r="1186" spans="1:10">
      <c r="A1186" s="185"/>
      <c r="B1186" s="185"/>
      <c r="C1186" s="185"/>
      <c r="D1186" s="185"/>
      <c r="E1186" s="191"/>
      <c r="F1186" s="185"/>
      <c r="G1186" s="185"/>
      <c r="H1186" s="185"/>
      <c r="I1186" s="185"/>
      <c r="J1186" s="185"/>
    </row>
    <row r="1187" spans="1:10">
      <c r="A1187" s="185"/>
      <c r="B1187" s="185"/>
      <c r="C1187" s="185"/>
      <c r="D1187" s="185"/>
      <c r="E1187" s="191"/>
      <c r="F1187" s="185"/>
      <c r="G1187" s="185"/>
      <c r="H1187" s="185"/>
      <c r="I1187" s="185"/>
      <c r="J1187" s="185"/>
    </row>
    <row r="1188" spans="1:10">
      <c r="A1188" s="185"/>
      <c r="B1188" s="185"/>
      <c r="C1188" s="185"/>
      <c r="D1188" s="185"/>
      <c r="E1188" s="191"/>
      <c r="F1188" s="185"/>
      <c r="G1188" s="185"/>
      <c r="H1188" s="185"/>
      <c r="I1188" s="185"/>
      <c r="J1188" s="185"/>
    </row>
    <row r="1189" spans="1:10">
      <c r="A1189" s="185"/>
      <c r="B1189" s="185"/>
      <c r="C1189" s="185"/>
      <c r="D1189" s="185"/>
      <c r="E1189" s="191"/>
      <c r="F1189" s="185"/>
      <c r="G1189" s="185"/>
      <c r="H1189" s="185"/>
      <c r="I1189" s="185"/>
      <c r="J1189" s="185"/>
    </row>
    <row r="1190" spans="1:10">
      <c r="A1190" s="185"/>
      <c r="B1190" s="185"/>
      <c r="C1190" s="185"/>
      <c r="D1190" s="185"/>
      <c r="E1190" s="191"/>
      <c r="F1190" s="185"/>
      <c r="G1190" s="185"/>
      <c r="H1190" s="185"/>
      <c r="I1190" s="185"/>
      <c r="J1190" s="185"/>
    </row>
    <row r="1191" spans="1:10">
      <c r="A1191" s="185"/>
      <c r="B1191" s="185"/>
      <c r="C1191" s="185"/>
      <c r="D1191" s="185"/>
      <c r="E1191" s="191"/>
      <c r="F1191" s="185"/>
      <c r="G1191" s="185"/>
      <c r="H1191" s="185"/>
      <c r="I1191" s="185"/>
      <c r="J1191" s="185"/>
    </row>
    <row r="1192" spans="1:10">
      <c r="A1192" s="185"/>
      <c r="B1192" s="185"/>
      <c r="C1192" s="185"/>
      <c r="D1192" s="185"/>
      <c r="E1192" s="191"/>
      <c r="F1192" s="185"/>
      <c r="G1192" s="185"/>
      <c r="H1192" s="185"/>
      <c r="I1192" s="185"/>
      <c r="J1192" s="185"/>
    </row>
    <row r="1193" spans="1:10">
      <c r="A1193" s="185"/>
      <c r="B1193" s="185"/>
      <c r="C1193" s="185"/>
      <c r="D1193" s="185"/>
      <c r="E1193" s="191"/>
      <c r="F1193" s="185"/>
      <c r="G1193" s="185"/>
      <c r="H1193" s="185"/>
      <c r="I1193" s="185"/>
      <c r="J1193" s="185"/>
    </row>
    <row r="1194" spans="1:10">
      <c r="A1194" s="185"/>
      <c r="B1194" s="185"/>
      <c r="C1194" s="185"/>
      <c r="D1194" s="185"/>
      <c r="E1194" s="191"/>
      <c r="F1194" s="185"/>
      <c r="G1194" s="185"/>
      <c r="H1194" s="185"/>
      <c r="I1194" s="185"/>
      <c r="J1194" s="185"/>
    </row>
    <row r="1195" spans="1:10">
      <c r="A1195" s="185"/>
      <c r="B1195" s="185"/>
      <c r="C1195" s="185"/>
      <c r="D1195" s="185"/>
      <c r="E1195" s="191"/>
      <c r="F1195" s="185"/>
      <c r="G1195" s="185"/>
      <c r="H1195" s="185"/>
      <c r="I1195" s="185"/>
      <c r="J1195" s="185"/>
    </row>
    <row r="1196" spans="1:10">
      <c r="A1196" s="185"/>
      <c r="B1196" s="185"/>
      <c r="C1196" s="185"/>
      <c r="D1196" s="185"/>
      <c r="E1196" s="191"/>
      <c r="F1196" s="185"/>
      <c r="G1196" s="185"/>
      <c r="H1196" s="185"/>
      <c r="I1196" s="185"/>
      <c r="J1196" s="185"/>
    </row>
    <row r="1197" spans="1:10">
      <c r="A1197" s="185"/>
      <c r="B1197" s="185"/>
      <c r="C1197" s="185"/>
      <c r="D1197" s="185"/>
      <c r="E1197" s="191"/>
      <c r="F1197" s="185"/>
      <c r="G1197" s="185"/>
      <c r="H1197" s="185"/>
      <c r="I1197" s="185"/>
      <c r="J1197" s="185"/>
    </row>
    <row r="1198" spans="1:10">
      <c r="A1198" s="185"/>
      <c r="B1198" s="185"/>
      <c r="C1198" s="185"/>
      <c r="D1198" s="185"/>
      <c r="E1198" s="191"/>
      <c r="F1198" s="185"/>
      <c r="G1198" s="185"/>
      <c r="H1198" s="185"/>
      <c r="I1198" s="185"/>
      <c r="J1198" s="185"/>
    </row>
    <row r="1199" spans="1:10">
      <c r="A1199" s="185"/>
      <c r="B1199" s="185"/>
      <c r="C1199" s="185"/>
      <c r="D1199" s="185"/>
      <c r="E1199" s="191"/>
      <c r="F1199" s="185"/>
      <c r="G1199" s="185"/>
      <c r="H1199" s="185"/>
      <c r="I1199" s="185"/>
      <c r="J1199" s="185"/>
    </row>
    <row r="1200" spans="1:10">
      <c r="A1200" s="185"/>
      <c r="B1200" s="185"/>
      <c r="C1200" s="185"/>
      <c r="D1200" s="185"/>
      <c r="E1200" s="191"/>
      <c r="F1200" s="185"/>
      <c r="G1200" s="185"/>
      <c r="H1200" s="185"/>
      <c r="I1200" s="185"/>
      <c r="J1200" s="185"/>
    </row>
    <row r="1201" spans="1:10">
      <c r="A1201" s="185"/>
      <c r="B1201" s="185"/>
      <c r="C1201" s="185"/>
      <c r="D1201" s="185"/>
      <c r="E1201" s="191"/>
      <c r="F1201" s="185"/>
      <c r="G1201" s="185"/>
      <c r="H1201" s="185"/>
      <c r="I1201" s="185"/>
      <c r="J1201" s="185"/>
    </row>
    <row r="1202" spans="1:10">
      <c r="A1202" s="185"/>
      <c r="B1202" s="185"/>
      <c r="C1202" s="185"/>
      <c r="D1202" s="185"/>
      <c r="E1202" s="191"/>
      <c r="F1202" s="185"/>
      <c r="G1202" s="185"/>
      <c r="H1202" s="185"/>
      <c r="I1202" s="185"/>
      <c r="J1202" s="185"/>
    </row>
    <row r="1203" spans="1:10">
      <c r="A1203" s="185"/>
      <c r="B1203" s="185"/>
      <c r="C1203" s="185"/>
      <c r="D1203" s="185"/>
      <c r="E1203" s="191"/>
      <c r="F1203" s="185"/>
      <c r="G1203" s="185"/>
      <c r="H1203" s="185"/>
      <c r="I1203" s="185"/>
      <c r="J1203" s="185"/>
    </row>
    <row r="1204" spans="1:10">
      <c r="A1204" s="185"/>
      <c r="B1204" s="185"/>
      <c r="C1204" s="185"/>
      <c r="D1204" s="185"/>
      <c r="E1204" s="191"/>
      <c r="F1204" s="185"/>
      <c r="G1204" s="185"/>
      <c r="H1204" s="185"/>
      <c r="I1204" s="185"/>
      <c r="J1204" s="185"/>
    </row>
    <row r="1205" spans="1:10">
      <c r="A1205" s="185"/>
      <c r="B1205" s="185"/>
      <c r="C1205" s="185"/>
      <c r="D1205" s="185"/>
      <c r="E1205" s="191"/>
      <c r="F1205" s="185"/>
      <c r="G1205" s="185"/>
      <c r="H1205" s="185"/>
      <c r="I1205" s="185"/>
      <c r="J1205" s="185"/>
    </row>
    <row r="1206" spans="1:10">
      <c r="A1206" s="185"/>
      <c r="B1206" s="185"/>
      <c r="C1206" s="185"/>
      <c r="D1206" s="185"/>
      <c r="E1206" s="191"/>
      <c r="F1206" s="185"/>
      <c r="G1206" s="185"/>
      <c r="H1206" s="185"/>
      <c r="I1206" s="185"/>
      <c r="J1206" s="185"/>
    </row>
    <row r="1207" spans="1:10">
      <c r="A1207" s="185"/>
      <c r="B1207" s="185"/>
      <c r="C1207" s="185"/>
      <c r="D1207" s="185"/>
      <c r="E1207" s="191"/>
      <c r="F1207" s="185"/>
      <c r="G1207" s="185"/>
      <c r="H1207" s="185"/>
      <c r="I1207" s="185"/>
      <c r="J1207" s="185"/>
    </row>
    <row r="1208" spans="1:10">
      <c r="A1208" s="185"/>
      <c r="B1208" s="185"/>
      <c r="C1208" s="185"/>
      <c r="D1208" s="185"/>
      <c r="E1208" s="191"/>
      <c r="F1208" s="185"/>
      <c r="G1208" s="185"/>
      <c r="H1208" s="185"/>
      <c r="I1208" s="185"/>
      <c r="J1208" s="185"/>
    </row>
    <row r="1209" spans="1:10">
      <c r="A1209" s="185"/>
      <c r="B1209" s="185"/>
      <c r="C1209" s="185"/>
      <c r="D1209" s="185"/>
      <c r="E1209" s="191"/>
      <c r="F1209" s="185"/>
      <c r="G1209" s="185"/>
      <c r="H1209" s="185"/>
      <c r="I1209" s="185"/>
      <c r="J1209" s="185"/>
    </row>
    <row r="1210" spans="1:10">
      <c r="A1210" s="185"/>
      <c r="B1210" s="185"/>
      <c r="C1210" s="185"/>
      <c r="D1210" s="185"/>
      <c r="E1210" s="191"/>
      <c r="F1210" s="185"/>
      <c r="G1210" s="185"/>
      <c r="H1210" s="185"/>
      <c r="I1210" s="185"/>
      <c r="J1210" s="185"/>
    </row>
    <row r="1211" spans="1:10">
      <c r="A1211" s="185"/>
      <c r="B1211" s="185"/>
      <c r="C1211" s="185"/>
      <c r="D1211" s="185"/>
      <c r="E1211" s="191"/>
      <c r="F1211" s="185"/>
      <c r="G1211" s="185"/>
      <c r="H1211" s="185"/>
      <c r="I1211" s="185"/>
      <c r="J1211" s="185"/>
    </row>
    <row r="1212" spans="1:10">
      <c r="A1212" s="185"/>
      <c r="B1212" s="185"/>
      <c r="C1212" s="185"/>
      <c r="D1212" s="185"/>
      <c r="E1212" s="191"/>
      <c r="F1212" s="185"/>
      <c r="G1212" s="185"/>
      <c r="H1212" s="185"/>
      <c r="I1212" s="185"/>
      <c r="J1212" s="185"/>
    </row>
    <row r="1213" spans="1:10">
      <c r="A1213" s="185"/>
      <c r="B1213" s="185"/>
      <c r="C1213" s="185"/>
      <c r="D1213" s="185"/>
      <c r="E1213" s="191"/>
      <c r="F1213" s="185"/>
      <c r="G1213" s="185"/>
      <c r="H1213" s="185"/>
      <c r="I1213" s="185"/>
      <c r="J1213" s="185"/>
    </row>
    <row r="1214" spans="1:10">
      <c r="A1214" s="185"/>
      <c r="B1214" s="185"/>
      <c r="C1214" s="185"/>
      <c r="D1214" s="185"/>
      <c r="E1214" s="191"/>
      <c r="F1214" s="185"/>
      <c r="G1214" s="185"/>
      <c r="H1214" s="185"/>
      <c r="I1214" s="185"/>
      <c r="J1214" s="185"/>
    </row>
    <row r="1215" spans="1:10">
      <c r="A1215" s="185"/>
      <c r="B1215" s="185"/>
      <c r="C1215" s="185"/>
      <c r="D1215" s="185"/>
      <c r="E1215" s="191"/>
      <c r="F1215" s="185"/>
      <c r="G1215" s="185"/>
      <c r="H1215" s="185"/>
      <c r="I1215" s="185"/>
      <c r="J1215" s="185"/>
    </row>
    <row r="1216" spans="1:10">
      <c r="A1216" s="185"/>
      <c r="B1216" s="185"/>
      <c r="C1216" s="185"/>
      <c r="D1216" s="185"/>
      <c r="E1216" s="191"/>
      <c r="F1216" s="185"/>
      <c r="G1216" s="185"/>
      <c r="H1216" s="185"/>
      <c r="I1216" s="185"/>
      <c r="J1216" s="185"/>
    </row>
    <row r="1217" spans="1:10">
      <c r="A1217" s="185"/>
      <c r="B1217" s="185"/>
      <c r="C1217" s="185"/>
      <c r="D1217" s="185"/>
      <c r="E1217" s="191"/>
      <c r="F1217" s="185"/>
      <c r="G1217" s="185"/>
      <c r="H1217" s="185"/>
      <c r="I1217" s="185"/>
      <c r="J1217" s="185"/>
    </row>
    <row r="1218" spans="1:10">
      <c r="A1218" s="185"/>
      <c r="B1218" s="185"/>
      <c r="C1218" s="185"/>
      <c r="D1218" s="185"/>
      <c r="E1218" s="191"/>
      <c r="F1218" s="185"/>
      <c r="G1218" s="185"/>
      <c r="H1218" s="185"/>
      <c r="I1218" s="185"/>
      <c r="J1218" s="185"/>
    </row>
    <row r="1219" spans="1:10">
      <c r="A1219" s="185"/>
      <c r="B1219" s="185"/>
      <c r="C1219" s="185"/>
      <c r="D1219" s="185"/>
      <c r="E1219" s="191"/>
      <c r="F1219" s="185"/>
      <c r="G1219" s="185"/>
      <c r="H1219" s="185"/>
      <c r="I1219" s="185"/>
      <c r="J1219" s="185"/>
    </row>
    <row r="1220" spans="1:10">
      <c r="A1220" s="185"/>
      <c r="B1220" s="185"/>
      <c r="C1220" s="185"/>
      <c r="D1220" s="185"/>
      <c r="E1220" s="191"/>
      <c r="F1220" s="185"/>
      <c r="G1220" s="185"/>
      <c r="H1220" s="185"/>
      <c r="I1220" s="185"/>
      <c r="J1220" s="185"/>
    </row>
    <row r="1221" spans="1:10">
      <c r="A1221" s="185"/>
      <c r="B1221" s="185"/>
      <c r="C1221" s="185"/>
      <c r="D1221" s="185"/>
      <c r="E1221" s="191"/>
      <c r="F1221" s="185"/>
      <c r="G1221" s="185"/>
      <c r="H1221" s="185"/>
      <c r="I1221" s="185"/>
      <c r="J1221" s="185"/>
    </row>
    <row r="1222" spans="1:10">
      <c r="A1222" s="185"/>
      <c r="B1222" s="185"/>
      <c r="C1222" s="185"/>
      <c r="D1222" s="185"/>
      <c r="E1222" s="191"/>
      <c r="F1222" s="185"/>
      <c r="G1222" s="185"/>
      <c r="H1222" s="185"/>
      <c r="I1222" s="185"/>
      <c r="J1222" s="185"/>
    </row>
    <row r="1223" spans="1:10">
      <c r="A1223" s="185"/>
      <c r="B1223" s="185"/>
      <c r="C1223" s="185"/>
      <c r="D1223" s="185"/>
      <c r="E1223" s="191"/>
      <c r="F1223" s="185"/>
      <c r="G1223" s="185"/>
      <c r="H1223" s="185"/>
      <c r="I1223" s="185"/>
      <c r="J1223" s="185"/>
    </row>
    <row r="1224" spans="1:10">
      <c r="A1224" s="185"/>
      <c r="B1224" s="185"/>
      <c r="C1224" s="185"/>
      <c r="D1224" s="185"/>
      <c r="E1224" s="191"/>
      <c r="F1224" s="185"/>
      <c r="G1224" s="185"/>
      <c r="H1224" s="185"/>
      <c r="I1224" s="185"/>
      <c r="J1224" s="185"/>
    </row>
    <row r="1225" spans="1:10">
      <c r="A1225" s="185"/>
      <c r="B1225" s="185"/>
      <c r="C1225" s="185"/>
      <c r="D1225" s="185"/>
      <c r="E1225" s="191"/>
      <c r="F1225" s="185"/>
      <c r="G1225" s="185"/>
      <c r="H1225" s="185"/>
      <c r="I1225" s="185"/>
      <c r="J1225" s="185"/>
    </row>
    <row r="1226" spans="1:10">
      <c r="A1226" s="185"/>
      <c r="B1226" s="185"/>
      <c r="C1226" s="185"/>
      <c r="D1226" s="185"/>
      <c r="E1226" s="191"/>
      <c r="F1226" s="185"/>
      <c r="G1226" s="185"/>
      <c r="H1226" s="185"/>
      <c r="I1226" s="185"/>
      <c r="J1226" s="185"/>
    </row>
    <row r="1227" spans="1:10">
      <c r="A1227" s="185"/>
      <c r="B1227" s="185"/>
      <c r="C1227" s="185"/>
      <c r="D1227" s="185"/>
      <c r="E1227" s="191"/>
      <c r="F1227" s="185"/>
      <c r="G1227" s="185"/>
      <c r="H1227" s="185"/>
      <c r="I1227" s="185"/>
      <c r="J1227" s="185"/>
    </row>
    <row r="1228" spans="1:10">
      <c r="A1228" s="185"/>
      <c r="B1228" s="185"/>
      <c r="C1228" s="185"/>
      <c r="D1228" s="185"/>
      <c r="E1228" s="191"/>
      <c r="F1228" s="185"/>
      <c r="G1228" s="185"/>
      <c r="H1228" s="185"/>
      <c r="I1228" s="185"/>
      <c r="J1228" s="185"/>
    </row>
    <row r="1229" spans="1:10">
      <c r="A1229" s="185"/>
      <c r="B1229" s="185"/>
      <c r="C1229" s="185"/>
      <c r="D1229" s="185"/>
      <c r="E1229" s="191"/>
      <c r="F1229" s="185"/>
      <c r="G1229" s="185"/>
      <c r="H1229" s="185"/>
      <c r="I1229" s="185"/>
      <c r="J1229" s="185"/>
    </row>
    <row r="1230" spans="1:10">
      <c r="A1230" s="185"/>
      <c r="B1230" s="185"/>
      <c r="C1230" s="185"/>
      <c r="D1230" s="185"/>
      <c r="E1230" s="191"/>
      <c r="F1230" s="185"/>
      <c r="G1230" s="185"/>
      <c r="H1230" s="185"/>
      <c r="I1230" s="185"/>
      <c r="J1230" s="185"/>
    </row>
    <row r="1231" spans="1:10">
      <c r="A1231" s="185"/>
      <c r="B1231" s="185"/>
      <c r="C1231" s="185"/>
      <c r="D1231" s="185"/>
      <c r="E1231" s="191"/>
      <c r="F1231" s="185"/>
      <c r="G1231" s="185"/>
      <c r="H1231" s="185"/>
      <c r="I1231" s="185"/>
      <c r="J1231" s="185"/>
    </row>
    <row r="1232" spans="1:10">
      <c r="A1232" s="185"/>
      <c r="B1232" s="185"/>
      <c r="C1232" s="185"/>
      <c r="D1232" s="185"/>
      <c r="E1232" s="191"/>
      <c r="F1232" s="185"/>
      <c r="G1232" s="185"/>
      <c r="H1232" s="185"/>
      <c r="I1232" s="185"/>
      <c r="J1232" s="185"/>
    </row>
    <row r="1233" spans="1:10">
      <c r="A1233" s="185"/>
      <c r="B1233" s="185"/>
      <c r="C1233" s="185"/>
      <c r="D1233" s="185"/>
      <c r="E1233" s="191"/>
      <c r="F1233" s="185"/>
      <c r="G1233" s="185"/>
      <c r="H1233" s="185"/>
      <c r="I1233" s="185"/>
      <c r="J1233" s="185"/>
    </row>
    <row r="1234" spans="1:10">
      <c r="A1234" s="185"/>
      <c r="B1234" s="185"/>
      <c r="C1234" s="185"/>
      <c r="D1234" s="185"/>
      <c r="E1234" s="191"/>
      <c r="F1234" s="185"/>
      <c r="G1234" s="185"/>
      <c r="H1234" s="185"/>
      <c r="I1234" s="185"/>
      <c r="J1234" s="185"/>
    </row>
    <row r="1235" spans="1:10">
      <c r="A1235" s="185"/>
      <c r="B1235" s="185"/>
      <c r="C1235" s="185"/>
      <c r="D1235" s="185"/>
      <c r="E1235" s="191"/>
      <c r="F1235" s="185"/>
      <c r="G1235" s="185"/>
      <c r="H1235" s="185"/>
      <c r="I1235" s="185"/>
      <c r="J1235" s="185"/>
    </row>
    <row r="1236" spans="1:10">
      <c r="A1236" s="185"/>
      <c r="B1236" s="185"/>
      <c r="C1236" s="185"/>
      <c r="D1236" s="185"/>
      <c r="E1236" s="191"/>
      <c r="F1236" s="185"/>
      <c r="G1236" s="185"/>
      <c r="H1236" s="185"/>
      <c r="I1236" s="185"/>
      <c r="J1236" s="185"/>
    </row>
    <row r="1237" spans="1:10">
      <c r="A1237" s="185"/>
      <c r="B1237" s="185"/>
      <c r="C1237" s="185"/>
      <c r="D1237" s="185"/>
      <c r="E1237" s="191"/>
      <c r="F1237" s="185"/>
      <c r="G1237" s="185"/>
      <c r="H1237" s="185"/>
      <c r="I1237" s="185"/>
      <c r="J1237" s="185"/>
    </row>
    <row r="1238" spans="1:10">
      <c r="A1238" s="185"/>
      <c r="B1238" s="185"/>
      <c r="C1238" s="185"/>
      <c r="D1238" s="185"/>
      <c r="E1238" s="191"/>
      <c r="F1238" s="185"/>
      <c r="G1238" s="185"/>
      <c r="H1238" s="185"/>
      <c r="I1238" s="185"/>
      <c r="J1238" s="185"/>
    </row>
    <row r="1239" spans="1:10">
      <c r="A1239" s="185"/>
      <c r="B1239" s="185"/>
      <c r="C1239" s="185"/>
      <c r="D1239" s="185"/>
      <c r="E1239" s="191"/>
      <c r="F1239" s="185"/>
      <c r="G1239" s="185"/>
      <c r="H1239" s="185"/>
      <c r="I1239" s="185"/>
      <c r="J1239" s="185"/>
    </row>
    <row r="1240" spans="1:10">
      <c r="A1240" s="185"/>
      <c r="B1240" s="185"/>
      <c r="C1240" s="185"/>
      <c r="D1240" s="185"/>
      <c r="E1240" s="191"/>
      <c r="F1240" s="185"/>
      <c r="G1240" s="185"/>
      <c r="H1240" s="185"/>
      <c r="I1240" s="185"/>
      <c r="J1240" s="185"/>
    </row>
    <row r="1241" spans="1:10">
      <c r="A1241" s="185"/>
      <c r="B1241" s="185"/>
      <c r="C1241" s="185"/>
      <c r="D1241" s="185"/>
      <c r="E1241" s="191"/>
      <c r="F1241" s="185"/>
      <c r="G1241" s="185"/>
      <c r="H1241" s="185"/>
      <c r="I1241" s="185"/>
      <c r="J1241" s="185"/>
    </row>
    <row r="1242" spans="1:10">
      <c r="A1242" s="185"/>
      <c r="B1242" s="185"/>
      <c r="C1242" s="185"/>
      <c r="D1242" s="185"/>
      <c r="E1242" s="191"/>
      <c r="F1242" s="185"/>
      <c r="G1242" s="185"/>
      <c r="H1242" s="185"/>
      <c r="I1242" s="185"/>
      <c r="J1242" s="185"/>
    </row>
    <row r="1243" spans="1:10">
      <c r="A1243" s="185"/>
      <c r="B1243" s="185"/>
      <c r="C1243" s="185"/>
      <c r="D1243" s="185"/>
      <c r="E1243" s="191"/>
      <c r="F1243" s="185"/>
      <c r="G1243" s="185"/>
      <c r="H1243" s="185"/>
      <c r="I1243" s="185"/>
      <c r="J1243" s="185"/>
    </row>
    <row r="1244" spans="1:10">
      <c r="A1244" s="185"/>
      <c r="B1244" s="185"/>
      <c r="C1244" s="185"/>
      <c r="D1244" s="185"/>
      <c r="E1244" s="191"/>
      <c r="F1244" s="185"/>
      <c r="G1244" s="185"/>
      <c r="H1244" s="185"/>
      <c r="I1244" s="185"/>
      <c r="J1244" s="185"/>
    </row>
    <row r="1245" spans="1:10">
      <c r="A1245" s="185"/>
      <c r="B1245" s="185"/>
      <c r="C1245" s="185"/>
      <c r="D1245" s="185"/>
      <c r="E1245" s="191"/>
      <c r="F1245" s="185"/>
      <c r="G1245" s="185"/>
      <c r="H1245" s="185"/>
      <c r="I1245" s="185"/>
      <c r="J1245" s="185"/>
    </row>
    <row r="1246" spans="1:10">
      <c r="A1246" s="185"/>
      <c r="B1246" s="185"/>
      <c r="C1246" s="185"/>
      <c r="D1246" s="185"/>
      <c r="E1246" s="191"/>
      <c r="F1246" s="185"/>
      <c r="G1246" s="185"/>
      <c r="H1246" s="185"/>
      <c r="I1246" s="185"/>
      <c r="J1246" s="185"/>
    </row>
    <row r="1247" spans="1:10">
      <c r="A1247" s="185"/>
      <c r="B1247" s="185"/>
      <c r="C1247" s="185"/>
      <c r="D1247" s="185"/>
      <c r="E1247" s="191"/>
      <c r="F1247" s="185"/>
      <c r="G1247" s="185"/>
      <c r="H1247" s="185"/>
      <c r="I1247" s="185"/>
      <c r="J1247" s="185"/>
    </row>
    <row r="1248" spans="1:10">
      <c r="A1248" s="185"/>
      <c r="B1248" s="185"/>
      <c r="C1248" s="185"/>
      <c r="D1248" s="185"/>
      <c r="E1248" s="191"/>
      <c r="F1248" s="185"/>
      <c r="G1248" s="185"/>
      <c r="H1248" s="185"/>
      <c r="I1248" s="185"/>
      <c r="J1248" s="185"/>
    </row>
    <row r="1249" spans="1:10">
      <c r="A1249" s="185"/>
      <c r="B1249" s="185"/>
      <c r="C1249" s="185"/>
      <c r="D1249" s="185"/>
      <c r="E1249" s="191"/>
      <c r="F1249" s="185"/>
      <c r="G1249" s="185"/>
      <c r="H1249" s="185"/>
      <c r="I1249" s="185"/>
      <c r="J1249" s="185"/>
    </row>
    <row r="1250" spans="1:10">
      <c r="A1250" s="185"/>
      <c r="B1250" s="185"/>
      <c r="C1250" s="185"/>
      <c r="D1250" s="185"/>
      <c r="E1250" s="191"/>
      <c r="F1250" s="185"/>
      <c r="G1250" s="185"/>
      <c r="H1250" s="185"/>
      <c r="I1250" s="185"/>
      <c r="J1250" s="185"/>
    </row>
    <row r="1251" spans="1:10">
      <c r="A1251" s="185"/>
      <c r="B1251" s="185"/>
      <c r="C1251" s="185"/>
      <c r="D1251" s="185"/>
      <c r="E1251" s="191"/>
      <c r="F1251" s="185"/>
      <c r="G1251" s="185"/>
      <c r="H1251" s="185"/>
      <c r="I1251" s="185"/>
      <c r="J1251" s="185"/>
    </row>
    <row r="1252" spans="1:10">
      <c r="A1252" s="185"/>
      <c r="B1252" s="185"/>
      <c r="C1252" s="185"/>
      <c r="D1252" s="185"/>
      <c r="E1252" s="191"/>
      <c r="F1252" s="185"/>
      <c r="G1252" s="185"/>
      <c r="H1252" s="185"/>
      <c r="I1252" s="185"/>
      <c r="J1252" s="185"/>
    </row>
    <row r="1253" spans="1:10">
      <c r="A1253" s="185"/>
      <c r="B1253" s="185"/>
      <c r="C1253" s="185"/>
      <c r="D1253" s="185"/>
      <c r="E1253" s="191"/>
      <c r="F1253" s="185"/>
      <c r="G1253" s="185"/>
      <c r="H1253" s="185"/>
      <c r="I1253" s="185"/>
      <c r="J1253" s="185"/>
    </row>
    <row r="1254" spans="1:10">
      <c r="A1254" s="185"/>
      <c r="B1254" s="185"/>
      <c r="C1254" s="185"/>
      <c r="D1254" s="185"/>
      <c r="E1254" s="191"/>
      <c r="F1254" s="185"/>
      <c r="G1254" s="185"/>
      <c r="H1254" s="185"/>
      <c r="I1254" s="185"/>
      <c r="J1254" s="185"/>
    </row>
    <row r="1255" spans="1:10">
      <c r="A1255" s="185"/>
      <c r="B1255" s="185"/>
      <c r="C1255" s="185"/>
      <c r="D1255" s="185"/>
      <c r="E1255" s="191"/>
      <c r="F1255" s="185"/>
      <c r="G1255" s="185"/>
      <c r="H1255" s="185"/>
      <c r="I1255" s="185"/>
      <c r="J1255" s="185"/>
    </row>
    <row r="1256" spans="1:10">
      <c r="A1256" s="185"/>
      <c r="B1256" s="185"/>
      <c r="C1256" s="185"/>
      <c r="D1256" s="185"/>
      <c r="E1256" s="191"/>
      <c r="F1256" s="185"/>
      <c r="G1256" s="185"/>
      <c r="H1256" s="185"/>
      <c r="I1256" s="185"/>
      <c r="J1256" s="185"/>
    </row>
    <row r="1257" spans="1:10">
      <c r="A1257" s="185"/>
      <c r="B1257" s="185"/>
      <c r="C1257" s="185"/>
      <c r="D1257" s="185"/>
      <c r="E1257" s="191"/>
      <c r="F1257" s="185"/>
      <c r="G1257" s="185"/>
      <c r="H1257" s="185"/>
      <c r="I1257" s="185"/>
      <c r="J1257" s="185"/>
    </row>
    <row r="1258" spans="1:10">
      <c r="A1258" s="185"/>
      <c r="B1258" s="185"/>
      <c r="C1258" s="185"/>
      <c r="D1258" s="185"/>
      <c r="E1258" s="191"/>
      <c r="F1258" s="185"/>
      <c r="G1258" s="185"/>
      <c r="H1258" s="185"/>
      <c r="I1258" s="185"/>
      <c r="J1258" s="185"/>
    </row>
    <row r="1259" spans="1:10">
      <c r="A1259" s="185"/>
      <c r="B1259" s="185"/>
      <c r="C1259" s="185"/>
      <c r="D1259" s="185"/>
      <c r="E1259" s="191"/>
      <c r="F1259" s="185"/>
      <c r="G1259" s="185"/>
      <c r="H1259" s="185"/>
      <c r="I1259" s="185"/>
      <c r="J1259" s="185"/>
    </row>
    <row r="1260" spans="1:10">
      <c r="A1260" s="185"/>
      <c r="B1260" s="185"/>
      <c r="C1260" s="185"/>
      <c r="D1260" s="185"/>
      <c r="E1260" s="191"/>
      <c r="F1260" s="185"/>
      <c r="G1260" s="185"/>
      <c r="H1260" s="185"/>
      <c r="I1260" s="185"/>
      <c r="J1260" s="185"/>
    </row>
    <row r="1261" spans="1:10">
      <c r="A1261" s="185"/>
      <c r="B1261" s="185"/>
      <c r="C1261" s="185"/>
      <c r="D1261" s="185"/>
      <c r="E1261" s="191"/>
      <c r="F1261" s="185"/>
      <c r="G1261" s="185"/>
      <c r="H1261" s="185"/>
      <c r="I1261" s="185"/>
      <c r="J1261" s="185"/>
    </row>
    <row r="1262" spans="1:10">
      <c r="A1262" s="185"/>
      <c r="B1262" s="185"/>
      <c r="C1262" s="185"/>
      <c r="D1262" s="185"/>
      <c r="E1262" s="191"/>
      <c r="F1262" s="185"/>
      <c r="G1262" s="185"/>
      <c r="H1262" s="185"/>
      <c r="I1262" s="185"/>
      <c r="J1262" s="185"/>
    </row>
    <row r="1263" spans="1:10">
      <c r="A1263" s="185"/>
      <c r="B1263" s="185"/>
      <c r="C1263" s="185"/>
      <c r="D1263" s="185"/>
      <c r="E1263" s="191"/>
      <c r="F1263" s="185"/>
      <c r="G1263" s="185"/>
      <c r="H1263" s="185"/>
      <c r="I1263" s="185"/>
      <c r="J1263" s="185"/>
    </row>
    <row r="1264" spans="1:10">
      <c r="A1264" s="185"/>
      <c r="B1264" s="185"/>
      <c r="C1264" s="185"/>
      <c r="D1264" s="185"/>
      <c r="E1264" s="191"/>
      <c r="F1264" s="185"/>
      <c r="G1264" s="185"/>
      <c r="H1264" s="185"/>
      <c r="I1264" s="185"/>
      <c r="J1264" s="185"/>
    </row>
    <row r="1265" spans="1:10">
      <c r="A1265" s="185"/>
      <c r="B1265" s="185"/>
      <c r="C1265" s="185"/>
      <c r="D1265" s="185"/>
      <c r="E1265" s="191"/>
      <c r="F1265" s="185"/>
      <c r="G1265" s="185"/>
      <c r="H1265" s="185"/>
      <c r="I1265" s="185"/>
      <c r="J1265" s="185"/>
    </row>
    <row r="1266" spans="1:10">
      <c r="A1266" s="185"/>
      <c r="B1266" s="185"/>
      <c r="C1266" s="185"/>
      <c r="D1266" s="185"/>
      <c r="E1266" s="191"/>
      <c r="F1266" s="185"/>
      <c r="G1266" s="185"/>
      <c r="H1266" s="185"/>
      <c r="I1266" s="185"/>
      <c r="J1266" s="185"/>
    </row>
    <row r="1267" spans="1:10">
      <c r="A1267" s="185"/>
      <c r="B1267" s="185"/>
      <c r="C1267" s="185"/>
      <c r="D1267" s="185"/>
      <c r="E1267" s="191"/>
      <c r="F1267" s="185"/>
      <c r="G1267" s="185"/>
      <c r="H1267" s="185"/>
      <c r="I1267" s="185"/>
      <c r="J1267" s="185"/>
    </row>
    <row r="1268" spans="1:10">
      <c r="A1268" s="185"/>
      <c r="B1268" s="185"/>
      <c r="C1268" s="185"/>
      <c r="D1268" s="185"/>
      <c r="E1268" s="191"/>
      <c r="F1268" s="185"/>
      <c r="G1268" s="185"/>
      <c r="H1268" s="185"/>
      <c r="I1268" s="185"/>
      <c r="J1268" s="185"/>
    </row>
    <row r="1269" spans="1:10">
      <c r="A1269" s="185"/>
      <c r="B1269" s="185"/>
      <c r="C1269" s="185"/>
      <c r="D1269" s="185"/>
      <c r="E1269" s="191"/>
      <c r="F1269" s="185"/>
      <c r="G1269" s="185"/>
      <c r="H1269" s="185"/>
      <c r="I1269" s="185"/>
      <c r="J1269" s="185"/>
    </row>
    <row r="1270" spans="1:10">
      <c r="A1270" s="185"/>
      <c r="B1270" s="185"/>
      <c r="C1270" s="185"/>
      <c r="D1270" s="185"/>
      <c r="E1270" s="191"/>
      <c r="F1270" s="185"/>
      <c r="G1270" s="185"/>
      <c r="H1270" s="185"/>
      <c r="I1270" s="185"/>
      <c r="J1270" s="185"/>
    </row>
    <row r="1271" spans="1:10">
      <c r="A1271" s="185"/>
      <c r="B1271" s="185"/>
      <c r="C1271" s="185"/>
      <c r="D1271" s="185"/>
      <c r="E1271" s="191"/>
      <c r="F1271" s="185"/>
      <c r="G1271" s="185"/>
      <c r="H1271" s="185"/>
      <c r="I1271" s="185"/>
      <c r="J1271" s="185"/>
    </row>
    <row r="1272" spans="1:10">
      <c r="A1272" s="185"/>
      <c r="B1272" s="185"/>
      <c r="C1272" s="185"/>
      <c r="D1272" s="185"/>
      <c r="E1272" s="191"/>
      <c r="F1272" s="185"/>
      <c r="G1272" s="185"/>
      <c r="H1272" s="185"/>
      <c r="I1272" s="185"/>
      <c r="J1272" s="185"/>
    </row>
    <row r="1273" spans="1:10">
      <c r="A1273" s="185"/>
      <c r="B1273" s="185"/>
      <c r="C1273" s="185"/>
      <c r="D1273" s="185"/>
      <c r="E1273" s="191"/>
      <c r="F1273" s="185"/>
      <c r="G1273" s="185"/>
      <c r="H1273" s="185"/>
      <c r="I1273" s="185"/>
      <c r="J1273" s="185"/>
    </row>
    <row r="1274" spans="1:10">
      <c r="A1274" s="185"/>
      <c r="B1274" s="185"/>
      <c r="C1274" s="185"/>
      <c r="D1274" s="185"/>
      <c r="E1274" s="191"/>
      <c r="F1274" s="185"/>
      <c r="G1274" s="185"/>
      <c r="H1274" s="185"/>
      <c r="I1274" s="185"/>
      <c r="J1274" s="185"/>
    </row>
    <row r="1275" spans="1:10">
      <c r="A1275" s="185"/>
      <c r="B1275" s="185"/>
      <c r="C1275" s="185"/>
      <c r="D1275" s="185"/>
      <c r="E1275" s="191"/>
      <c r="F1275" s="185"/>
      <c r="G1275" s="185"/>
      <c r="H1275" s="185"/>
      <c r="I1275" s="185"/>
      <c r="J1275" s="185"/>
    </row>
    <row r="1276" spans="1:10">
      <c r="A1276" s="185"/>
      <c r="B1276" s="185"/>
      <c r="C1276" s="185"/>
      <c r="D1276" s="185"/>
      <c r="E1276" s="191"/>
      <c r="F1276" s="185"/>
      <c r="G1276" s="185"/>
      <c r="H1276" s="185"/>
      <c r="I1276" s="185"/>
      <c r="J1276" s="185"/>
    </row>
    <row r="1277" spans="1:10">
      <c r="A1277" s="185"/>
      <c r="B1277" s="185"/>
      <c r="C1277" s="185"/>
      <c r="D1277" s="185"/>
      <c r="E1277" s="191"/>
      <c r="F1277" s="185"/>
      <c r="G1277" s="185"/>
      <c r="H1277" s="185"/>
      <c r="I1277" s="185"/>
      <c r="J1277" s="185"/>
    </row>
    <row r="1278" spans="1:10">
      <c r="A1278" s="185"/>
      <c r="B1278" s="185"/>
      <c r="C1278" s="185"/>
      <c r="D1278" s="185"/>
      <c r="E1278" s="191"/>
      <c r="F1278" s="185"/>
      <c r="G1278" s="185"/>
      <c r="H1278" s="185"/>
      <c r="I1278" s="185"/>
      <c r="J1278" s="185"/>
    </row>
    <row r="1279" spans="1:10">
      <c r="A1279" s="185"/>
      <c r="B1279" s="185"/>
      <c r="C1279" s="185"/>
      <c r="D1279" s="185"/>
      <c r="E1279" s="191"/>
      <c r="F1279" s="185"/>
      <c r="G1279" s="185"/>
      <c r="H1279" s="185"/>
      <c r="I1279" s="185"/>
      <c r="J1279" s="185"/>
    </row>
    <row r="1280" spans="1:10">
      <c r="A1280" s="185"/>
      <c r="B1280" s="185"/>
      <c r="C1280" s="185"/>
      <c r="D1280" s="185"/>
      <c r="E1280" s="191"/>
      <c r="F1280" s="185"/>
      <c r="G1280" s="185"/>
      <c r="H1280" s="185"/>
      <c r="I1280" s="185"/>
      <c r="J1280" s="185"/>
    </row>
    <row r="1281" spans="1:10">
      <c r="A1281" s="185"/>
      <c r="B1281" s="185"/>
      <c r="C1281" s="185"/>
      <c r="D1281" s="185"/>
      <c r="E1281" s="191"/>
      <c r="F1281" s="185"/>
      <c r="G1281" s="185"/>
      <c r="H1281" s="185"/>
      <c r="I1281" s="185"/>
      <c r="J1281" s="185"/>
    </row>
    <row r="1282" spans="1:10">
      <c r="A1282" s="185"/>
      <c r="B1282" s="185"/>
      <c r="C1282" s="185"/>
      <c r="D1282" s="185"/>
      <c r="E1282" s="191"/>
      <c r="F1282" s="185"/>
      <c r="G1282" s="185"/>
      <c r="H1282" s="185"/>
      <c r="I1282" s="185"/>
      <c r="J1282" s="185"/>
    </row>
    <row r="1283" spans="1:10">
      <c r="A1283" s="185"/>
      <c r="B1283" s="185"/>
      <c r="C1283" s="185"/>
      <c r="D1283" s="185"/>
      <c r="E1283" s="191"/>
      <c r="F1283" s="185"/>
      <c r="G1283" s="185"/>
      <c r="H1283" s="185"/>
      <c r="I1283" s="185"/>
      <c r="J1283" s="185"/>
    </row>
    <row r="1284" spans="1:10">
      <c r="A1284" s="185"/>
      <c r="B1284" s="185"/>
      <c r="C1284" s="185"/>
      <c r="D1284" s="185"/>
      <c r="E1284" s="191"/>
      <c r="F1284" s="185"/>
      <c r="G1284" s="185"/>
      <c r="H1284" s="185"/>
      <c r="I1284" s="185"/>
      <c r="J1284" s="185"/>
    </row>
    <row r="1285" spans="1:10">
      <c r="A1285" s="185"/>
      <c r="B1285" s="185"/>
      <c r="C1285" s="185"/>
      <c r="D1285" s="185"/>
      <c r="E1285" s="191"/>
      <c r="F1285" s="185"/>
      <c r="G1285" s="185"/>
      <c r="H1285" s="185"/>
      <c r="I1285" s="185"/>
      <c r="J1285" s="185"/>
    </row>
    <row r="1286" spans="1:10">
      <c r="A1286" s="185"/>
      <c r="B1286" s="185"/>
      <c r="C1286" s="185"/>
      <c r="D1286" s="185"/>
      <c r="E1286" s="191"/>
      <c r="F1286" s="185"/>
      <c r="G1286" s="185"/>
      <c r="H1286" s="185"/>
      <c r="I1286" s="185"/>
      <c r="J1286" s="185"/>
    </row>
    <row r="1287" spans="1:10">
      <c r="A1287" s="185"/>
      <c r="B1287" s="185"/>
      <c r="C1287" s="185"/>
      <c r="D1287" s="185"/>
      <c r="E1287" s="191"/>
      <c r="F1287" s="185"/>
      <c r="G1287" s="185"/>
      <c r="H1287" s="185"/>
      <c r="I1287" s="185"/>
      <c r="J1287" s="185"/>
    </row>
  </sheetData>
  <sheetProtection password="C288" sheet="1" autoFilter="0"/>
  <mergeCells count="82">
    <mergeCell ref="G34:H34"/>
    <mergeCell ref="G35:H35"/>
    <mergeCell ref="C12:I12"/>
    <mergeCell ref="G28:H28"/>
    <mergeCell ref="G29:H29"/>
    <mergeCell ref="G30:H30"/>
    <mergeCell ref="G31:H31"/>
    <mergeCell ref="G32:H32"/>
    <mergeCell ref="G33:H33"/>
    <mergeCell ref="G22:H22"/>
    <mergeCell ref="G27:H27"/>
    <mergeCell ref="G16:H16"/>
    <mergeCell ref="G17:H17"/>
    <mergeCell ref="G18:H18"/>
    <mergeCell ref="G19:H19"/>
    <mergeCell ref="G20:H20"/>
    <mergeCell ref="G15:H15"/>
    <mergeCell ref="H6:I6"/>
    <mergeCell ref="H7:I7"/>
    <mergeCell ref="H8:I8"/>
    <mergeCell ref="H9:I9"/>
    <mergeCell ref="H10:I10"/>
    <mergeCell ref="E31:F31"/>
    <mergeCell ref="E32:F32"/>
    <mergeCell ref="E33:F33"/>
    <mergeCell ref="E34:F34"/>
    <mergeCell ref="E35:F35"/>
    <mergeCell ref="G21:H21"/>
    <mergeCell ref="G23:H23"/>
    <mergeCell ref="G24:H24"/>
    <mergeCell ref="G25:H25"/>
    <mergeCell ref="G26:H26"/>
    <mergeCell ref="E25:F25"/>
    <mergeCell ref="E26:F26"/>
    <mergeCell ref="E27:F27"/>
    <mergeCell ref="E28:F28"/>
    <mergeCell ref="E29:F29"/>
    <mergeCell ref="E30:F30"/>
    <mergeCell ref="E14:F15"/>
    <mergeCell ref="C14:D15"/>
    <mergeCell ref="E16:F16"/>
    <mergeCell ref="E22:F22"/>
    <mergeCell ref="E23:F23"/>
    <mergeCell ref="E24:F24"/>
    <mergeCell ref="B2:C2"/>
    <mergeCell ref="B3:J3"/>
    <mergeCell ref="B38:J38"/>
    <mergeCell ref="B36:C36"/>
    <mergeCell ref="C16:D16"/>
    <mergeCell ref="C17:D17"/>
    <mergeCell ref="C18:D18"/>
    <mergeCell ref="B12:B15"/>
    <mergeCell ref="C13:J13"/>
    <mergeCell ref="E18:F18"/>
    <mergeCell ref="C29:D29"/>
    <mergeCell ref="C30:D30"/>
    <mergeCell ref="C31:D31"/>
    <mergeCell ref="C32:D32"/>
    <mergeCell ref="E17:F17"/>
    <mergeCell ref="C5:J5"/>
    <mergeCell ref="C27:D27"/>
    <mergeCell ref="E19:F19"/>
    <mergeCell ref="E20:F20"/>
    <mergeCell ref="E21:F21"/>
    <mergeCell ref="C22:D22"/>
    <mergeCell ref="C23:D23"/>
    <mergeCell ref="C24:D24"/>
    <mergeCell ref="C25:D25"/>
    <mergeCell ref="C26:D26"/>
    <mergeCell ref="C19:D19"/>
    <mergeCell ref="C20:D20"/>
    <mergeCell ref="C21:D21"/>
    <mergeCell ref="E2:F2"/>
    <mergeCell ref="D36:J36"/>
    <mergeCell ref="G14:J14"/>
    <mergeCell ref="B11:J11"/>
    <mergeCell ref="B4:J4"/>
    <mergeCell ref="B5:B10"/>
    <mergeCell ref="C34:D34"/>
    <mergeCell ref="C35:D35"/>
    <mergeCell ref="C28:D28"/>
    <mergeCell ref="C33:D33"/>
  </mergeCells>
  <conditionalFormatting sqref="D10 F6:F10 J6:J10">
    <cfRule type="expression" dxfId="24" priority="15" stopIfTrue="1">
      <formula>#REF!="No"</formula>
    </cfRule>
  </conditionalFormatting>
  <dataValidations count="5">
    <dataValidation type="list" allowBlank="1" showInputMessage="1" showErrorMessage="1" sqref="E16:F35">
      <formula1>AllAgencies</formula1>
    </dataValidation>
    <dataValidation type="whole" operator="greaterThanOrEqual" allowBlank="1" showInputMessage="1" showErrorMessage="1" sqref="J12">
      <formula1>0</formula1>
    </dataValidation>
    <dataValidation type="list" allowBlank="1" showInputMessage="1" showErrorMessage="1" sqref="D6:D10 F6:F10 J6:J10">
      <formula1>SupportType</formula1>
    </dataValidation>
    <dataValidation type="list" allowBlank="1" showInputMessage="1" showErrorMessage="1" sqref="H6:I8">
      <formula1>OtherAgency</formula1>
    </dataValidation>
    <dataValidation type="list" allowBlank="1" showInputMessage="1" showErrorMessage="1" sqref="G16:J35">
      <formula1>YesNo</formula1>
    </dataValidation>
  </dataValidations>
  <hyperlinks>
    <hyperlink ref="B2:C2" location="'3b'!A1" tooltip="Competitors" display="Previous Page"/>
    <hyperlink ref="E2" location="'Table of Contents'!A1" tooltip="Table of Contents" display="Table of Contents"/>
    <hyperlink ref="J2" location="'4b'!A1" tooltip="USG Interactions" display="Next Page"/>
  </hyperlinks>
  <pageMargins left="0.25" right="0.25" top="0.75" bottom="0.75" header="0.3" footer="0.3"/>
  <pageSetup scale="68" orientation="landscape" cellComments="atEnd" r:id="rId1"/>
  <headerFooter>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showRowColHeaders="0" zoomScaleNormal="100" workbookViewId="0"/>
  </sheetViews>
  <sheetFormatPr defaultColWidth="27" defaultRowHeight="12.75"/>
  <cols>
    <col min="1" max="1" width="8.5703125" style="57" customWidth="1"/>
    <col min="2" max="2" width="3.7109375" style="57" customWidth="1"/>
    <col min="3" max="3" width="7.85546875" style="57" customWidth="1"/>
    <col min="4" max="4" width="33.28515625" style="57" customWidth="1"/>
    <col min="5" max="5" width="19.140625" style="57" customWidth="1"/>
    <col min="6" max="6" width="18.5703125" style="57" customWidth="1"/>
    <col min="7" max="7" width="18.140625" style="57" customWidth="1"/>
    <col min="8" max="8" width="15.5703125" style="57" customWidth="1"/>
    <col min="9" max="9" width="15.5703125" style="58" customWidth="1"/>
    <col min="10" max="10" width="15.5703125" style="57" customWidth="1"/>
    <col min="11" max="251" width="8.85546875" style="57" customWidth="1"/>
    <col min="252" max="253" width="3.7109375" style="57" customWidth="1"/>
    <col min="254" max="16384" width="27" style="57"/>
  </cols>
  <sheetData>
    <row r="1" spans="1:10" ht="13.5" customHeight="1" thickBot="1">
      <c r="A1" s="195"/>
      <c r="B1" s="195"/>
      <c r="C1" s="195"/>
      <c r="D1" s="195"/>
      <c r="E1" s="195"/>
      <c r="F1" s="195"/>
      <c r="G1" s="195"/>
      <c r="H1" s="195"/>
      <c r="I1" s="196"/>
      <c r="J1" s="195"/>
    </row>
    <row r="2" spans="1:10" ht="13.5" customHeight="1" thickBot="1">
      <c r="A2" s="195"/>
      <c r="B2" s="655" t="s">
        <v>487</v>
      </c>
      <c r="C2" s="656"/>
      <c r="D2" s="656"/>
      <c r="E2" s="657" t="s">
        <v>1204</v>
      </c>
      <c r="F2" s="657"/>
      <c r="G2" s="657"/>
      <c r="H2" s="108"/>
      <c r="I2" s="15"/>
      <c r="J2" s="113" t="s">
        <v>486</v>
      </c>
    </row>
    <row r="3" spans="1:10" ht="13.5" customHeight="1" thickBot="1">
      <c r="A3" s="195"/>
      <c r="B3" s="958" t="s">
        <v>922</v>
      </c>
      <c r="C3" s="959"/>
      <c r="D3" s="959"/>
      <c r="E3" s="959"/>
      <c r="F3" s="959"/>
      <c r="G3" s="959"/>
      <c r="H3" s="959"/>
      <c r="I3" s="959"/>
      <c r="J3" s="960"/>
    </row>
    <row r="4" spans="1:10" ht="30" customHeight="1">
      <c r="A4" s="195"/>
      <c r="B4" s="973" t="s">
        <v>5</v>
      </c>
      <c r="C4" s="1111" t="s">
        <v>1198</v>
      </c>
      <c r="D4" s="1112"/>
      <c r="E4" s="1112"/>
      <c r="F4" s="1112"/>
      <c r="G4" s="1112"/>
      <c r="H4" s="1113"/>
      <c r="I4" s="1122"/>
      <c r="J4" s="1123"/>
    </row>
    <row r="5" spans="1:10" ht="30" customHeight="1">
      <c r="A5" s="195"/>
      <c r="B5" s="974"/>
      <c r="C5" s="233" t="s">
        <v>468</v>
      </c>
      <c r="D5" s="963"/>
      <c r="E5" s="964"/>
      <c r="F5" s="964"/>
      <c r="G5" s="964"/>
      <c r="H5" s="964"/>
      <c r="I5" s="964"/>
      <c r="J5" s="965"/>
    </row>
    <row r="6" spans="1:10" ht="30" customHeight="1">
      <c r="A6" s="195"/>
      <c r="B6" s="974"/>
      <c r="C6" s="1124" t="s">
        <v>1131</v>
      </c>
      <c r="D6" s="1125"/>
      <c r="E6" s="1125"/>
      <c r="F6" s="1125"/>
      <c r="G6" s="1125"/>
      <c r="H6" s="1126"/>
      <c r="I6" s="1116"/>
      <c r="J6" s="1117"/>
    </row>
    <row r="7" spans="1:10" ht="30" customHeight="1" thickBot="1">
      <c r="A7" s="195"/>
      <c r="B7" s="974"/>
      <c r="C7" s="234" t="s">
        <v>468</v>
      </c>
      <c r="D7" s="963"/>
      <c r="E7" s="964"/>
      <c r="F7" s="964"/>
      <c r="G7" s="964"/>
      <c r="H7" s="964"/>
      <c r="I7" s="964"/>
      <c r="J7" s="965"/>
    </row>
    <row r="8" spans="1:10" ht="30" customHeight="1">
      <c r="A8" s="195"/>
      <c r="B8" s="1133" t="s">
        <v>6</v>
      </c>
      <c r="C8" s="1138" t="s">
        <v>1325</v>
      </c>
      <c r="D8" s="1138"/>
      <c r="E8" s="1138"/>
      <c r="F8" s="1138"/>
      <c r="G8" s="1138"/>
      <c r="H8" s="1138"/>
      <c r="I8" s="1138"/>
      <c r="J8" s="1139"/>
    </row>
    <row r="9" spans="1:10" ht="45" customHeight="1">
      <c r="A9" s="195"/>
      <c r="B9" s="1134"/>
      <c r="C9" s="1108" t="s">
        <v>840</v>
      </c>
      <c r="D9" s="1109"/>
      <c r="E9" s="1110"/>
      <c r="F9" s="365" t="s">
        <v>841</v>
      </c>
      <c r="G9" s="404" t="s">
        <v>1219</v>
      </c>
      <c r="H9" s="1140" t="s">
        <v>497</v>
      </c>
      <c r="I9" s="1141"/>
      <c r="J9" s="1142"/>
    </row>
    <row r="10" spans="1:10" ht="15.75" customHeight="1">
      <c r="A10" s="195"/>
      <c r="B10" s="1135"/>
      <c r="C10" s="1118" t="s">
        <v>1107</v>
      </c>
      <c r="D10" s="1118"/>
      <c r="E10" s="1119"/>
      <c r="F10" s="450"/>
      <c r="G10" s="450"/>
      <c r="H10" s="1114"/>
      <c r="I10" s="1114"/>
      <c r="J10" s="1115"/>
    </row>
    <row r="11" spans="1:10" ht="15.75" customHeight="1">
      <c r="A11" s="195"/>
      <c r="B11" s="1135"/>
      <c r="C11" s="1118" t="s">
        <v>1210</v>
      </c>
      <c r="D11" s="1118"/>
      <c r="E11" s="1119"/>
      <c r="F11" s="450"/>
      <c r="G11" s="450"/>
      <c r="H11" s="1114"/>
      <c r="I11" s="1114"/>
      <c r="J11" s="1115"/>
    </row>
    <row r="12" spans="1:10" ht="15.75" customHeight="1">
      <c r="A12" s="195"/>
      <c r="B12" s="1135"/>
      <c r="C12" s="1118" t="s">
        <v>1211</v>
      </c>
      <c r="D12" s="1118"/>
      <c r="E12" s="1119"/>
      <c r="F12" s="450"/>
      <c r="G12" s="450"/>
      <c r="H12" s="1114"/>
      <c r="I12" s="1114"/>
      <c r="J12" s="1115"/>
    </row>
    <row r="13" spans="1:10" ht="15.75" customHeight="1">
      <c r="A13" s="195"/>
      <c r="B13" s="1135"/>
      <c r="C13" s="1118" t="s">
        <v>1212</v>
      </c>
      <c r="D13" s="1118"/>
      <c r="E13" s="1119"/>
      <c r="F13" s="450"/>
      <c r="G13" s="450"/>
      <c r="H13" s="1114"/>
      <c r="I13" s="1114"/>
      <c r="J13" s="1115"/>
    </row>
    <row r="14" spans="1:10" ht="15.75" customHeight="1">
      <c r="A14" s="195"/>
      <c r="B14" s="1135"/>
      <c r="C14" s="1118" t="s">
        <v>1213</v>
      </c>
      <c r="D14" s="1118"/>
      <c r="E14" s="1119"/>
      <c r="F14" s="450"/>
      <c r="G14" s="450"/>
      <c r="H14" s="1114"/>
      <c r="I14" s="1114"/>
      <c r="J14" s="1115"/>
    </row>
    <row r="15" spans="1:10" ht="15.75" customHeight="1">
      <c r="A15" s="195"/>
      <c r="B15" s="1135"/>
      <c r="C15" s="1118" t="s">
        <v>1214</v>
      </c>
      <c r="D15" s="1127"/>
      <c r="E15" s="1128"/>
      <c r="F15" s="450"/>
      <c r="G15" s="450"/>
      <c r="H15" s="1114"/>
      <c r="I15" s="1114"/>
      <c r="J15" s="1115"/>
    </row>
    <row r="16" spans="1:10" ht="15.75" customHeight="1">
      <c r="A16" s="195"/>
      <c r="B16" s="1136"/>
      <c r="C16" s="1118" t="s">
        <v>1215</v>
      </c>
      <c r="D16" s="1127"/>
      <c r="E16" s="1128"/>
      <c r="F16" s="450"/>
      <c r="G16" s="450"/>
      <c r="H16" s="1114"/>
      <c r="I16" s="1114"/>
      <c r="J16" s="1115"/>
    </row>
    <row r="17" spans="1:10" ht="15.75" customHeight="1">
      <c r="A17" s="195"/>
      <c r="B17" s="1136"/>
      <c r="C17" s="1118" t="s">
        <v>1216</v>
      </c>
      <c r="D17" s="1127"/>
      <c r="E17" s="1128"/>
      <c r="F17" s="450"/>
      <c r="G17" s="450"/>
      <c r="H17" s="1114"/>
      <c r="I17" s="1114"/>
      <c r="J17" s="1115"/>
    </row>
    <row r="18" spans="1:10" ht="15.75" customHeight="1">
      <c r="A18" s="195"/>
      <c r="B18" s="1136"/>
      <c r="C18" s="1118" t="s">
        <v>1217</v>
      </c>
      <c r="D18" s="1127"/>
      <c r="E18" s="1128"/>
      <c r="F18" s="450"/>
      <c r="G18" s="450"/>
      <c r="H18" s="1114"/>
      <c r="I18" s="1114"/>
      <c r="J18" s="1115"/>
    </row>
    <row r="19" spans="1:10" ht="15.75" customHeight="1">
      <c r="A19" s="195"/>
      <c r="B19" s="1136"/>
      <c r="C19" s="1118" t="s">
        <v>1218</v>
      </c>
      <c r="D19" s="1127"/>
      <c r="E19" s="1128"/>
      <c r="F19" s="450"/>
      <c r="G19" s="450"/>
      <c r="H19" s="1114"/>
      <c r="I19" s="1114"/>
      <c r="J19" s="1115"/>
    </row>
    <row r="20" spans="1:10" ht="15.75" customHeight="1">
      <c r="A20" s="195"/>
      <c r="B20" s="1136"/>
      <c r="C20" s="366" t="s">
        <v>107</v>
      </c>
      <c r="D20" s="1129" t="s">
        <v>405</v>
      </c>
      <c r="E20" s="1130"/>
      <c r="F20" s="450"/>
      <c r="G20" s="450"/>
      <c r="H20" s="1114"/>
      <c r="I20" s="1114"/>
      <c r="J20" s="1115"/>
    </row>
    <row r="21" spans="1:10" ht="15.75" customHeight="1" thickBot="1">
      <c r="A21" s="195"/>
      <c r="B21" s="1137"/>
      <c r="C21" s="367" t="s">
        <v>107</v>
      </c>
      <c r="D21" s="1131" t="s">
        <v>405</v>
      </c>
      <c r="E21" s="1132"/>
      <c r="F21" s="451"/>
      <c r="G21" s="451"/>
      <c r="H21" s="1120"/>
      <c r="I21" s="1120"/>
      <c r="J21" s="1121"/>
    </row>
    <row r="22" spans="1:10" ht="30.75" customHeight="1">
      <c r="B22" s="1143" t="s">
        <v>48</v>
      </c>
      <c r="C22" s="1144"/>
      <c r="D22" s="1145"/>
      <c r="E22" s="1146"/>
      <c r="F22" s="1146"/>
      <c r="G22" s="1146"/>
      <c r="H22" s="1146"/>
      <c r="I22" s="1146"/>
      <c r="J22" s="1147"/>
    </row>
    <row r="23" spans="1:10">
      <c r="B23" s="59"/>
      <c r="J23" s="60"/>
    </row>
    <row r="24" spans="1:10" ht="13.5" thickBot="1">
      <c r="B24" s="978" t="s">
        <v>4</v>
      </c>
      <c r="C24" s="979"/>
      <c r="D24" s="979"/>
      <c r="E24" s="979"/>
      <c r="F24" s="979"/>
      <c r="G24" s="979"/>
      <c r="H24" s="979"/>
      <c r="I24" s="979"/>
      <c r="J24" s="980"/>
    </row>
  </sheetData>
  <sheetProtection password="C288" sheet="1"/>
  <mergeCells count="41">
    <mergeCell ref="B22:C22"/>
    <mergeCell ref="D22:J22"/>
    <mergeCell ref="C13:E13"/>
    <mergeCell ref="C14:E14"/>
    <mergeCell ref="C15:E15"/>
    <mergeCell ref="C18:E18"/>
    <mergeCell ref="B24:J24"/>
    <mergeCell ref="C19:E19"/>
    <mergeCell ref="D20:E20"/>
    <mergeCell ref="D21:E21"/>
    <mergeCell ref="H19:J19"/>
    <mergeCell ref="B8:B21"/>
    <mergeCell ref="C8:J8"/>
    <mergeCell ref="C12:E12"/>
    <mergeCell ref="H9:J9"/>
    <mergeCell ref="H10:J10"/>
    <mergeCell ref="H20:J20"/>
    <mergeCell ref="H21:J21"/>
    <mergeCell ref="H13:J13"/>
    <mergeCell ref="H14:J14"/>
    <mergeCell ref="I4:J4"/>
    <mergeCell ref="D5:J5"/>
    <mergeCell ref="C6:H6"/>
    <mergeCell ref="C16:E16"/>
    <mergeCell ref="C17:E17"/>
    <mergeCell ref="H18:J18"/>
    <mergeCell ref="H16:J16"/>
    <mergeCell ref="H17:J17"/>
    <mergeCell ref="B2:D2"/>
    <mergeCell ref="E2:G2"/>
    <mergeCell ref="I6:J6"/>
    <mergeCell ref="D7:J7"/>
    <mergeCell ref="C10:E10"/>
    <mergeCell ref="C11:E11"/>
    <mergeCell ref="H11:J11"/>
    <mergeCell ref="C9:E9"/>
    <mergeCell ref="B3:J3"/>
    <mergeCell ref="B4:B7"/>
    <mergeCell ref="C4:H4"/>
    <mergeCell ref="H12:J12"/>
    <mergeCell ref="H15:J15"/>
  </mergeCells>
  <dataValidations count="3">
    <dataValidation type="list" allowBlank="1" showInputMessage="1" showErrorMessage="1" sqref="I4:J4">
      <formula1>YesNo</formula1>
    </dataValidation>
    <dataValidation type="list" allowBlank="1" showInputMessage="1" showErrorMessage="1" sqref="I6:J6">
      <formula1>IntegSep</formula1>
    </dataValidation>
    <dataValidation type="list" allowBlank="1" showInputMessage="1" showErrorMessage="1" sqref="F10:G21">
      <formula1>Change</formula1>
    </dataValidation>
  </dataValidations>
  <hyperlinks>
    <hyperlink ref="B2:C2" location="'7'!A1" tooltip="Sales" display="Previous Page"/>
    <hyperlink ref="E2" location="'Table of Contents'!A1" tooltip="Table of Contents" display="Table of Contents"/>
    <hyperlink ref="J2" location="'5a'!A1" tooltip="Manufacturing Capabilities" display="Next Page"/>
    <hyperlink ref="B2:D2" location="'4a'!A1" tooltip="Participation in USG Programs" display="Previous Page"/>
  </hyperlinks>
  <pageMargins left="0.25" right="0.25" top="0.75" bottom="0.75" header="0.3" footer="0.3"/>
  <pageSetup scale="90" orientation="landscape" cellComments="atEnd" r:id="rId1"/>
  <headerFooter>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3.7109375" style="45" customWidth="1"/>
    <col min="4" max="4" width="14.5703125" style="45" customWidth="1"/>
    <col min="5" max="5" width="17.7109375" style="45" customWidth="1"/>
    <col min="6" max="9" width="13.28515625" style="45" customWidth="1"/>
    <col min="10" max="13" width="13.42578125" style="45" customWidth="1"/>
    <col min="14" max="16384" width="8.85546875" style="45"/>
  </cols>
  <sheetData>
    <row r="1" spans="2:13" ht="13.5" customHeight="1" thickBot="1"/>
    <row r="2" spans="2:13" ht="13.5" customHeight="1" thickBot="1">
      <c r="B2" s="655" t="s">
        <v>487</v>
      </c>
      <c r="C2" s="656"/>
      <c r="D2" s="656"/>
      <c r="E2" s="575"/>
      <c r="F2" s="575"/>
      <c r="G2" s="575" t="s">
        <v>1204</v>
      </c>
      <c r="H2" s="575"/>
      <c r="I2" s="575"/>
      <c r="J2" s="108"/>
      <c r="K2" s="108"/>
      <c r="L2" s="183"/>
      <c r="M2" s="113" t="s">
        <v>486</v>
      </c>
    </row>
    <row r="3" spans="2:13" ht="13.5" customHeight="1" thickBot="1">
      <c r="B3" s="1189" t="s">
        <v>650</v>
      </c>
      <c r="C3" s="1190"/>
      <c r="D3" s="1190"/>
      <c r="E3" s="1190"/>
      <c r="F3" s="1190"/>
      <c r="G3" s="1190"/>
      <c r="H3" s="1190"/>
      <c r="I3" s="1190"/>
      <c r="J3" s="1190"/>
      <c r="K3" s="1190"/>
      <c r="L3" s="1190"/>
      <c r="M3" s="1191"/>
    </row>
    <row r="4" spans="2:13" ht="18.75" customHeight="1">
      <c r="B4" s="1175" t="s">
        <v>5</v>
      </c>
      <c r="C4" s="1178" t="s">
        <v>1199</v>
      </c>
      <c r="D4" s="1179"/>
      <c r="E4" s="1179"/>
      <c r="F4" s="1179"/>
      <c r="G4" s="1179"/>
      <c r="H4" s="1179"/>
      <c r="I4" s="1179"/>
      <c r="J4" s="1179"/>
      <c r="K4" s="1179"/>
      <c r="L4" s="1179"/>
      <c r="M4" s="1180"/>
    </row>
    <row r="5" spans="2:13" ht="15" customHeight="1">
      <c r="B5" s="1176"/>
      <c r="C5" s="1151"/>
      <c r="D5" s="1152"/>
      <c r="E5" s="1152"/>
      <c r="F5" s="1152"/>
      <c r="G5" s="1152"/>
      <c r="H5" s="1152"/>
      <c r="I5" s="1152"/>
      <c r="J5" s="1162" t="s">
        <v>923</v>
      </c>
      <c r="K5" s="1163"/>
      <c r="L5" s="1162" t="s">
        <v>1222</v>
      </c>
      <c r="M5" s="1166"/>
    </row>
    <row r="6" spans="2:13" ht="15" customHeight="1">
      <c r="B6" s="1176"/>
      <c r="C6" s="769" t="s">
        <v>1220</v>
      </c>
      <c r="D6" s="770"/>
      <c r="E6" s="770"/>
      <c r="F6" s="770"/>
      <c r="G6" s="770"/>
      <c r="H6" s="770"/>
      <c r="I6" s="770"/>
      <c r="J6" s="1164"/>
      <c r="K6" s="1165"/>
      <c r="L6" s="1160"/>
      <c r="M6" s="1161"/>
    </row>
    <row r="7" spans="2:13" ht="15" customHeight="1">
      <c r="B7" s="1176"/>
      <c r="C7" s="769" t="s">
        <v>934</v>
      </c>
      <c r="D7" s="770"/>
      <c r="E7" s="770"/>
      <c r="F7" s="770"/>
      <c r="G7" s="770"/>
      <c r="H7" s="770"/>
      <c r="I7" s="770"/>
      <c r="J7" s="1164"/>
      <c r="K7" s="1165"/>
      <c r="L7" s="1160"/>
      <c r="M7" s="1161"/>
    </row>
    <row r="8" spans="2:13" ht="15" customHeight="1">
      <c r="B8" s="1176"/>
      <c r="C8" s="769" t="s">
        <v>1366</v>
      </c>
      <c r="D8" s="770"/>
      <c r="E8" s="770"/>
      <c r="F8" s="770"/>
      <c r="G8" s="770"/>
      <c r="H8" s="770"/>
      <c r="I8" s="770"/>
      <c r="J8" s="1164"/>
      <c r="K8" s="1165"/>
      <c r="L8" s="1160"/>
      <c r="M8" s="1161"/>
    </row>
    <row r="9" spans="2:13" ht="15" customHeight="1">
      <c r="B9" s="1176"/>
      <c r="C9" s="769" t="s">
        <v>1367</v>
      </c>
      <c r="D9" s="770"/>
      <c r="E9" s="770"/>
      <c r="F9" s="770"/>
      <c r="G9" s="770"/>
      <c r="H9" s="770"/>
      <c r="I9" s="770"/>
      <c r="J9" s="1164"/>
      <c r="K9" s="1165"/>
      <c r="L9" s="1160"/>
      <c r="M9" s="1161"/>
    </row>
    <row r="10" spans="2:13" ht="15" customHeight="1">
      <c r="B10" s="1177"/>
      <c r="C10" s="769" t="s">
        <v>1368</v>
      </c>
      <c r="D10" s="770"/>
      <c r="E10" s="770"/>
      <c r="F10" s="770"/>
      <c r="G10" s="770"/>
      <c r="H10" s="770"/>
      <c r="I10" s="770"/>
      <c r="J10" s="1164"/>
      <c r="K10" s="1165"/>
      <c r="L10" s="1160"/>
      <c r="M10" s="1161"/>
    </row>
    <row r="11" spans="2:13" ht="15" customHeight="1">
      <c r="B11" s="1177"/>
      <c r="C11" s="769" t="s">
        <v>1369</v>
      </c>
      <c r="D11" s="770"/>
      <c r="E11" s="770"/>
      <c r="F11" s="770"/>
      <c r="G11" s="770"/>
      <c r="H11" s="770"/>
      <c r="I11" s="770"/>
      <c r="J11" s="1164"/>
      <c r="K11" s="1165"/>
      <c r="L11" s="1160"/>
      <c r="M11" s="1161"/>
    </row>
    <row r="12" spans="2:13" ht="15" customHeight="1">
      <c r="B12" s="1177"/>
      <c r="C12" s="769" t="s">
        <v>1370</v>
      </c>
      <c r="D12" s="770"/>
      <c r="E12" s="770"/>
      <c r="F12" s="770"/>
      <c r="G12" s="770"/>
      <c r="H12" s="770"/>
      <c r="I12" s="770"/>
      <c r="J12" s="1164"/>
      <c r="K12" s="1165"/>
      <c r="L12" s="1160"/>
      <c r="M12" s="1161"/>
    </row>
    <row r="13" spans="2:13" ht="15" customHeight="1">
      <c r="B13" s="1177"/>
      <c r="C13" s="769" t="s">
        <v>1371</v>
      </c>
      <c r="D13" s="770"/>
      <c r="E13" s="770"/>
      <c r="F13" s="770"/>
      <c r="G13" s="770"/>
      <c r="H13" s="770"/>
      <c r="I13" s="770"/>
      <c r="J13" s="1164"/>
      <c r="K13" s="1165"/>
      <c r="L13" s="1160"/>
      <c r="M13" s="1161"/>
    </row>
    <row r="14" spans="2:13" ht="15" customHeight="1">
      <c r="B14" s="1177"/>
      <c r="C14" s="769" t="s">
        <v>1372</v>
      </c>
      <c r="D14" s="770"/>
      <c r="E14" s="770"/>
      <c r="F14" s="770"/>
      <c r="G14" s="770"/>
      <c r="H14" s="770"/>
      <c r="I14" s="770"/>
      <c r="J14" s="1164"/>
      <c r="K14" s="1165"/>
      <c r="L14" s="1160"/>
      <c r="M14" s="1161"/>
    </row>
    <row r="15" spans="2:13" ht="15" customHeight="1">
      <c r="B15" s="1177"/>
      <c r="C15" s="769" t="s">
        <v>1373</v>
      </c>
      <c r="D15" s="770"/>
      <c r="E15" s="770"/>
      <c r="F15" s="770"/>
      <c r="G15" s="770"/>
      <c r="H15" s="770"/>
      <c r="I15" s="770"/>
      <c r="J15" s="1164"/>
      <c r="K15" s="1165"/>
      <c r="L15" s="1160"/>
      <c r="M15" s="1161"/>
    </row>
    <row r="16" spans="2:13" ht="15" customHeight="1">
      <c r="B16" s="1177"/>
      <c r="C16" s="769" t="s">
        <v>651</v>
      </c>
      <c r="D16" s="770"/>
      <c r="E16" s="770"/>
      <c r="F16" s="770"/>
      <c r="G16" s="770"/>
      <c r="H16" s="770"/>
      <c r="I16" s="770"/>
      <c r="J16" s="1164"/>
      <c r="K16" s="1165"/>
      <c r="L16" s="1160"/>
      <c r="M16" s="1161"/>
    </row>
    <row r="17" spans="2:15" ht="15" customHeight="1" thickBot="1">
      <c r="B17" s="352"/>
      <c r="C17" s="1205" t="s">
        <v>1221</v>
      </c>
      <c r="D17" s="1206"/>
      <c r="E17" s="1206"/>
      <c r="F17" s="1206"/>
      <c r="G17" s="1206"/>
      <c r="H17" s="1206"/>
      <c r="I17" s="1206"/>
      <c r="J17" s="1200"/>
      <c r="K17" s="1201"/>
      <c r="L17" s="1196"/>
      <c r="M17" s="1197"/>
    </row>
    <row r="18" spans="2:15" ht="30" customHeight="1" thickBot="1">
      <c r="B18" s="154" t="s">
        <v>6</v>
      </c>
      <c r="C18" s="1157" t="s">
        <v>1200</v>
      </c>
      <c r="D18" s="1158"/>
      <c r="E18" s="1158"/>
      <c r="F18" s="1158"/>
      <c r="G18" s="1181"/>
      <c r="H18" s="1182"/>
      <c r="I18" s="1195" t="s">
        <v>1201</v>
      </c>
      <c r="J18" s="1158"/>
      <c r="K18" s="1158"/>
      <c r="L18" s="1158"/>
      <c r="M18" s="460"/>
    </row>
    <row r="19" spans="2:15" ht="30" customHeight="1">
      <c r="B19" s="1148" t="s">
        <v>7</v>
      </c>
      <c r="C19" s="856" t="s">
        <v>1254</v>
      </c>
      <c r="D19" s="857"/>
      <c r="E19" s="857"/>
      <c r="F19" s="1159"/>
      <c r="G19" s="461"/>
      <c r="H19" s="1192" t="s">
        <v>1288</v>
      </c>
      <c r="I19" s="1193"/>
      <c r="J19" s="1193"/>
      <c r="K19" s="1193"/>
      <c r="L19" s="1193"/>
      <c r="M19" s="1194"/>
    </row>
    <row r="20" spans="2:15" ht="30" customHeight="1">
      <c r="B20" s="1149"/>
      <c r="C20" s="1210" t="s">
        <v>1256</v>
      </c>
      <c r="D20" s="1211"/>
      <c r="E20" s="1211"/>
      <c r="F20" s="1211"/>
      <c r="G20" s="1212"/>
      <c r="H20" s="462"/>
      <c r="I20" s="273" t="s">
        <v>448</v>
      </c>
      <c r="J20" s="1198"/>
      <c r="K20" s="1198"/>
      <c r="L20" s="1198"/>
      <c r="M20" s="1199"/>
    </row>
    <row r="21" spans="2:15" ht="30" customHeight="1" thickBot="1">
      <c r="B21" s="1150"/>
      <c r="C21" s="1213" t="s">
        <v>1255</v>
      </c>
      <c r="D21" s="1214"/>
      <c r="E21" s="1214"/>
      <c r="F21" s="1214"/>
      <c r="G21" s="1215"/>
      <c r="H21" s="463"/>
      <c r="I21" s="281" t="s">
        <v>448</v>
      </c>
      <c r="J21" s="1186"/>
      <c r="K21" s="1187"/>
      <c r="L21" s="1187"/>
      <c r="M21" s="1188"/>
    </row>
    <row r="22" spans="2:15" ht="30" customHeight="1" thickBot="1">
      <c r="B22" s="1148" t="s">
        <v>8</v>
      </c>
      <c r="C22" s="839" t="s">
        <v>1377</v>
      </c>
      <c r="D22" s="798"/>
      <c r="E22" s="798"/>
      <c r="F22" s="798"/>
      <c r="G22" s="798"/>
      <c r="H22" s="798"/>
      <c r="I22" s="798"/>
      <c r="J22" s="798"/>
      <c r="K22" s="798"/>
      <c r="L22" s="798"/>
      <c r="M22" s="799"/>
    </row>
    <row r="23" spans="2:15" ht="15" customHeight="1" thickBot="1">
      <c r="B23" s="1149"/>
      <c r="C23" s="1153"/>
      <c r="D23" s="1154"/>
      <c r="E23" s="1154"/>
      <c r="F23" s="1207" t="s">
        <v>689</v>
      </c>
      <c r="G23" s="1208"/>
      <c r="H23" s="1208"/>
      <c r="I23" s="1208"/>
      <c r="J23" s="1208"/>
      <c r="K23" s="1208"/>
      <c r="L23" s="1208"/>
      <c r="M23" s="1209"/>
      <c r="O23" s="285"/>
    </row>
    <row r="24" spans="2:15" ht="27.75" customHeight="1">
      <c r="B24" s="1149"/>
      <c r="C24" s="1155"/>
      <c r="D24" s="1156"/>
      <c r="E24" s="1156"/>
      <c r="F24" s="184" t="s">
        <v>1241</v>
      </c>
      <c r="G24" s="329" t="s">
        <v>1242</v>
      </c>
      <c r="H24" s="329" t="s">
        <v>1243</v>
      </c>
      <c r="I24" s="317" t="s">
        <v>1244</v>
      </c>
      <c r="J24" s="303" t="s">
        <v>1374</v>
      </c>
      <c r="K24" s="329" t="s">
        <v>1375</v>
      </c>
      <c r="L24" s="329" t="s">
        <v>1376</v>
      </c>
      <c r="M24" s="1202"/>
    </row>
    <row r="25" spans="2:15" ht="15.75" customHeight="1">
      <c r="B25" s="1149"/>
      <c r="C25" s="853" t="s">
        <v>685</v>
      </c>
      <c r="D25" s="854"/>
      <c r="E25" s="854"/>
      <c r="F25" s="464"/>
      <c r="G25" s="465"/>
      <c r="H25" s="465"/>
      <c r="I25" s="465"/>
      <c r="J25" s="466"/>
      <c r="K25" s="465"/>
      <c r="L25" s="465"/>
      <c r="M25" s="1203"/>
    </row>
    <row r="26" spans="2:15" ht="15.75" customHeight="1">
      <c r="B26" s="1149"/>
      <c r="C26" s="853" t="s">
        <v>686</v>
      </c>
      <c r="D26" s="854"/>
      <c r="E26" s="854"/>
      <c r="F26" s="464"/>
      <c r="G26" s="465"/>
      <c r="H26" s="465"/>
      <c r="I26" s="465"/>
      <c r="J26" s="466"/>
      <c r="K26" s="465"/>
      <c r="L26" s="465"/>
      <c r="M26" s="1203"/>
    </row>
    <row r="27" spans="2:15" ht="15.75" customHeight="1">
      <c r="B27" s="1149"/>
      <c r="C27" s="853" t="s">
        <v>687</v>
      </c>
      <c r="D27" s="854"/>
      <c r="E27" s="854"/>
      <c r="F27" s="464"/>
      <c r="G27" s="465"/>
      <c r="H27" s="465"/>
      <c r="I27" s="465"/>
      <c r="J27" s="466"/>
      <c r="K27" s="465"/>
      <c r="L27" s="465"/>
      <c r="M27" s="1203"/>
    </row>
    <row r="28" spans="2:15" ht="15.75" customHeight="1" thickBot="1">
      <c r="B28" s="1150"/>
      <c r="C28" s="772" t="s">
        <v>688</v>
      </c>
      <c r="D28" s="773"/>
      <c r="E28" s="773"/>
      <c r="F28" s="467"/>
      <c r="G28" s="468"/>
      <c r="H28" s="468"/>
      <c r="I28" s="468"/>
      <c r="J28" s="469"/>
      <c r="K28" s="468"/>
      <c r="L28" s="468"/>
      <c r="M28" s="1204"/>
    </row>
    <row r="29" spans="2:15" ht="30" customHeight="1" thickBot="1">
      <c r="B29" s="1148" t="s">
        <v>9</v>
      </c>
      <c r="C29" s="839" t="s">
        <v>1378</v>
      </c>
      <c r="D29" s="798"/>
      <c r="E29" s="798"/>
      <c r="F29" s="798"/>
      <c r="G29" s="798"/>
      <c r="H29" s="798"/>
      <c r="I29" s="798"/>
      <c r="J29" s="798"/>
      <c r="K29" s="798"/>
      <c r="L29" s="798"/>
      <c r="M29" s="799"/>
    </row>
    <row r="30" spans="2:15" ht="15" customHeight="1" thickBot="1">
      <c r="B30" s="1149"/>
      <c r="C30" s="1153"/>
      <c r="D30" s="1154"/>
      <c r="E30" s="1154"/>
      <c r="F30" s="1207" t="s">
        <v>690</v>
      </c>
      <c r="G30" s="1208"/>
      <c r="H30" s="1208"/>
      <c r="I30" s="1208"/>
      <c r="J30" s="1208"/>
      <c r="K30" s="1208"/>
      <c r="L30" s="1208"/>
      <c r="M30" s="1209"/>
      <c r="O30" s="285"/>
    </row>
    <row r="31" spans="2:15" ht="27.75" customHeight="1">
      <c r="B31" s="1149"/>
      <c r="C31" s="1155"/>
      <c r="D31" s="1156"/>
      <c r="E31" s="1156"/>
      <c r="F31" s="184" t="s">
        <v>1241</v>
      </c>
      <c r="G31" s="329" t="s">
        <v>1242</v>
      </c>
      <c r="H31" s="329" t="s">
        <v>1243</v>
      </c>
      <c r="I31" s="317" t="s">
        <v>1244</v>
      </c>
      <c r="J31" s="303" t="s">
        <v>1374</v>
      </c>
      <c r="K31" s="329" t="s">
        <v>1375</v>
      </c>
      <c r="L31" s="329" t="s">
        <v>1376</v>
      </c>
      <c r="M31" s="1202"/>
    </row>
    <row r="32" spans="2:15" ht="15.75" customHeight="1">
      <c r="B32" s="1149"/>
      <c r="C32" s="853" t="s">
        <v>685</v>
      </c>
      <c r="D32" s="854"/>
      <c r="E32" s="854"/>
      <c r="F32" s="464"/>
      <c r="G32" s="465"/>
      <c r="H32" s="465"/>
      <c r="I32" s="465"/>
      <c r="J32" s="466"/>
      <c r="K32" s="465"/>
      <c r="L32" s="465"/>
      <c r="M32" s="1203"/>
    </row>
    <row r="33" spans="2:13" ht="15.75" customHeight="1">
      <c r="B33" s="1149"/>
      <c r="C33" s="853" t="s">
        <v>686</v>
      </c>
      <c r="D33" s="854"/>
      <c r="E33" s="854"/>
      <c r="F33" s="464"/>
      <c r="G33" s="465"/>
      <c r="H33" s="465"/>
      <c r="I33" s="465"/>
      <c r="J33" s="466"/>
      <c r="K33" s="465"/>
      <c r="L33" s="465"/>
      <c r="M33" s="1203"/>
    </row>
    <row r="34" spans="2:13" ht="15.75" customHeight="1">
      <c r="B34" s="1149"/>
      <c r="C34" s="853" t="s">
        <v>687</v>
      </c>
      <c r="D34" s="854"/>
      <c r="E34" s="854"/>
      <c r="F34" s="464"/>
      <c r="G34" s="465"/>
      <c r="H34" s="465"/>
      <c r="I34" s="465"/>
      <c r="J34" s="466"/>
      <c r="K34" s="465"/>
      <c r="L34" s="465"/>
      <c r="M34" s="1203"/>
    </row>
    <row r="35" spans="2:13" ht="15.75" customHeight="1" thickBot="1">
      <c r="B35" s="1150"/>
      <c r="C35" s="772" t="s">
        <v>688</v>
      </c>
      <c r="D35" s="773"/>
      <c r="E35" s="773"/>
      <c r="F35" s="467"/>
      <c r="G35" s="468"/>
      <c r="H35" s="468"/>
      <c r="I35" s="468"/>
      <c r="J35" s="469"/>
      <c r="K35" s="468"/>
      <c r="L35" s="468"/>
      <c r="M35" s="1204"/>
    </row>
    <row r="36" spans="2:13" ht="27" customHeight="1">
      <c r="B36" s="1173" t="s">
        <v>48</v>
      </c>
      <c r="C36" s="1174"/>
      <c r="D36" s="1174"/>
      <c r="E36" s="1183"/>
      <c r="F36" s="1184"/>
      <c r="G36" s="1184"/>
      <c r="H36" s="1184"/>
      <c r="I36" s="1184"/>
      <c r="J36" s="1184"/>
      <c r="K36" s="1184"/>
      <c r="L36" s="1184"/>
      <c r="M36" s="1185"/>
    </row>
    <row r="37" spans="2:13" ht="12.75" customHeight="1">
      <c r="B37" s="1167" t="s">
        <v>4</v>
      </c>
      <c r="C37" s="1168"/>
      <c r="D37" s="1168"/>
      <c r="E37" s="1168"/>
      <c r="F37" s="1168"/>
      <c r="G37" s="1168"/>
      <c r="H37" s="1168"/>
      <c r="I37" s="1168"/>
      <c r="J37" s="1168"/>
      <c r="K37" s="1168"/>
      <c r="L37" s="1168"/>
      <c r="M37" s="1169"/>
    </row>
    <row r="38" spans="2:13" ht="12.75" customHeight="1" thickBot="1">
      <c r="B38" s="1170"/>
      <c r="C38" s="1171"/>
      <c r="D38" s="1171"/>
      <c r="E38" s="1171"/>
      <c r="F38" s="1171"/>
      <c r="G38" s="1171"/>
      <c r="H38" s="1171"/>
      <c r="I38" s="1171"/>
      <c r="J38" s="1171"/>
      <c r="K38" s="1171"/>
      <c r="L38" s="1171"/>
      <c r="M38" s="1172"/>
    </row>
  </sheetData>
  <sheetProtection password="C288" sheet="1"/>
  <mergeCells count="74">
    <mergeCell ref="J17:K17"/>
    <mergeCell ref="L15:M15"/>
    <mergeCell ref="M24:M28"/>
    <mergeCell ref="M31:M35"/>
    <mergeCell ref="C16:I16"/>
    <mergeCell ref="C17:I17"/>
    <mergeCell ref="F23:M23"/>
    <mergeCell ref="F30:M30"/>
    <mergeCell ref="C20:G20"/>
    <mergeCell ref="C21:G21"/>
    <mergeCell ref="J20:M20"/>
    <mergeCell ref="C11:I11"/>
    <mergeCell ref="L10:M10"/>
    <mergeCell ref="L11:M11"/>
    <mergeCell ref="L12:M12"/>
    <mergeCell ref="L13:M13"/>
    <mergeCell ref="L14:M14"/>
    <mergeCell ref="J12:K12"/>
    <mergeCell ref="J13:K13"/>
    <mergeCell ref="J14:K14"/>
    <mergeCell ref="J15:K15"/>
    <mergeCell ref="C12:I12"/>
    <mergeCell ref="C6:I6"/>
    <mergeCell ref="C7:I7"/>
    <mergeCell ref="C8:I8"/>
    <mergeCell ref="C9:I9"/>
    <mergeCell ref="C10:I10"/>
    <mergeCell ref="B29:B35"/>
    <mergeCell ref="C29:M29"/>
    <mergeCell ref="C30:E31"/>
    <mergeCell ref="C32:E32"/>
    <mergeCell ref="C33:E33"/>
    <mergeCell ref="C34:E34"/>
    <mergeCell ref="C35:E35"/>
    <mergeCell ref="B19:B21"/>
    <mergeCell ref="J21:M21"/>
    <mergeCell ref="B3:M3"/>
    <mergeCell ref="H19:M19"/>
    <mergeCell ref="J16:K16"/>
    <mergeCell ref="I18:L18"/>
    <mergeCell ref="L17:M17"/>
    <mergeCell ref="C13:I13"/>
    <mergeCell ref="C14:I14"/>
    <mergeCell ref="C15:I15"/>
    <mergeCell ref="B37:M38"/>
    <mergeCell ref="B36:D36"/>
    <mergeCell ref="B4:B16"/>
    <mergeCell ref="C4:M4"/>
    <mergeCell ref="C22:M22"/>
    <mergeCell ref="G18:H18"/>
    <mergeCell ref="E36:M36"/>
    <mergeCell ref="J7:K7"/>
    <mergeCell ref="J8:K8"/>
    <mergeCell ref="J9:K9"/>
    <mergeCell ref="L16:M16"/>
    <mergeCell ref="J5:K5"/>
    <mergeCell ref="J6:K6"/>
    <mergeCell ref="L5:M5"/>
    <mergeCell ref="L6:M6"/>
    <mergeCell ref="L7:M7"/>
    <mergeCell ref="L8:M8"/>
    <mergeCell ref="L9:M9"/>
    <mergeCell ref="J10:K10"/>
    <mergeCell ref="J11:K11"/>
    <mergeCell ref="B2:D2"/>
    <mergeCell ref="B22:B28"/>
    <mergeCell ref="C5:I5"/>
    <mergeCell ref="C23:E24"/>
    <mergeCell ref="C27:E27"/>
    <mergeCell ref="C28:E28"/>
    <mergeCell ref="C25:E25"/>
    <mergeCell ref="C26:E26"/>
    <mergeCell ref="C18:F18"/>
    <mergeCell ref="C19:F19"/>
  </mergeCells>
  <dataValidations count="5">
    <dataValidation type="list" allowBlank="1" showInputMessage="1" showErrorMessage="1" sqref="G18:H18 F25:L28 F32:L35">
      <formula1>InnerLayerThickness</formula1>
    </dataValidation>
    <dataValidation type="list" allowBlank="1" showInputMessage="1" showErrorMessage="1" sqref="M18">
      <formula1>MaxBoardThickness</formula1>
    </dataValidation>
    <dataValidation type="list" allowBlank="1" showInputMessage="1" showErrorMessage="1" sqref="H20">
      <formula1>ProdType</formula1>
    </dataValidation>
    <dataValidation type="list" allowBlank="1" showInputMessage="1" showErrorMessage="1" sqref="H21">
      <formula1>CustomerType</formula1>
    </dataValidation>
    <dataValidation type="list" allowBlank="1" showInputMessage="1" showErrorMessage="1" sqref="J6:M17 G19">
      <formula1>YesNo</formula1>
    </dataValidation>
  </dataValidations>
  <hyperlinks>
    <hyperlink ref="B2:C2" location="'5'!A1" tooltip="Critical Suppliers" display="Previous Page"/>
    <hyperlink ref="E2:I2" location="'Table of Contents'!A1" tooltip="Table of Contents" display="Table of Contents"/>
    <hyperlink ref="M2" location="'5b'!A1" tooltip="Manufacturing Capabilities (cont.)" display="Next Page"/>
    <hyperlink ref="B2:D2" location="'4b'!A1" tooltip="USG Interactions" display="Previous Page"/>
  </hyperlinks>
  <pageMargins left="0.25" right="0.25" top="0.75" bottom="0.75" header="0.3" footer="0.3"/>
  <pageSetup scale="53" orientation="landscape" cellComments="atEnd" r:id="rId1"/>
  <headerFooter>
    <oddHeader>&amp;F</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6"/>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3.7109375" style="45" customWidth="1"/>
    <col min="4" max="4" width="14.5703125" style="45" customWidth="1"/>
    <col min="5" max="5" width="17.7109375" style="45" customWidth="1"/>
    <col min="6" max="9" width="13.28515625" style="45" customWidth="1"/>
    <col min="10" max="10" width="1.42578125" style="45" customWidth="1"/>
    <col min="11" max="14" width="13.42578125" style="45" customWidth="1"/>
    <col min="15" max="16384" width="8.85546875" style="45"/>
  </cols>
  <sheetData>
    <row r="1" spans="2:14" ht="13.5" customHeight="1" thickBot="1"/>
    <row r="2" spans="2:14" ht="13.5" customHeight="1" thickBot="1">
      <c r="B2" s="655" t="s">
        <v>487</v>
      </c>
      <c r="C2" s="656"/>
      <c r="D2" s="656"/>
      <c r="E2" s="575"/>
      <c r="F2" s="575"/>
      <c r="G2" s="575" t="s">
        <v>1204</v>
      </c>
      <c r="H2" s="575"/>
      <c r="I2" s="575"/>
      <c r="J2" s="108"/>
      <c r="K2" s="108"/>
      <c r="L2" s="108"/>
      <c r="M2" s="183"/>
      <c r="N2" s="113" t="s">
        <v>486</v>
      </c>
    </row>
    <row r="3" spans="2:14" ht="13.5" customHeight="1">
      <c r="B3" s="1189" t="s">
        <v>1379</v>
      </c>
      <c r="C3" s="1190"/>
      <c r="D3" s="1190"/>
      <c r="E3" s="1190"/>
      <c r="F3" s="1190"/>
      <c r="G3" s="1190"/>
      <c r="H3" s="1190"/>
      <c r="I3" s="1190"/>
      <c r="J3" s="1190"/>
      <c r="K3" s="1190"/>
      <c r="L3" s="1190"/>
      <c r="M3" s="1190"/>
      <c r="N3" s="1191"/>
    </row>
    <row r="4" spans="2:14" ht="19.5" customHeight="1">
      <c r="B4" s="1216" t="s">
        <v>5</v>
      </c>
      <c r="C4" s="1218" t="s">
        <v>1142</v>
      </c>
      <c r="D4" s="1218"/>
      <c r="E4" s="1218"/>
      <c r="F4" s="1218"/>
      <c r="G4" s="1218"/>
      <c r="H4" s="1218"/>
      <c r="I4" s="1218"/>
      <c r="J4" s="1218"/>
      <c r="K4" s="1218"/>
      <c r="L4" s="1218"/>
      <c r="M4" s="1218"/>
      <c r="N4" s="1219"/>
    </row>
    <row r="5" spans="2:14" ht="27.75" customHeight="1">
      <c r="B5" s="1216"/>
      <c r="C5" s="1220" t="s">
        <v>1233</v>
      </c>
      <c r="D5" s="1220"/>
      <c r="E5" s="1220"/>
      <c r="F5" s="1220"/>
      <c r="G5" s="355" t="s">
        <v>1232</v>
      </c>
      <c r="H5" s="355" t="s">
        <v>1231</v>
      </c>
      <c r="I5" s="1220" t="s">
        <v>1233</v>
      </c>
      <c r="J5" s="1220"/>
      <c r="K5" s="1220"/>
      <c r="L5" s="1220"/>
      <c r="M5" s="355" t="s">
        <v>1232</v>
      </c>
      <c r="N5" s="356" t="s">
        <v>1231</v>
      </c>
    </row>
    <row r="6" spans="2:14" ht="15" customHeight="1">
      <c r="B6" s="1176"/>
      <c r="C6" s="1221" t="s">
        <v>1223</v>
      </c>
      <c r="D6" s="1222"/>
      <c r="E6" s="1222"/>
      <c r="F6" s="1223"/>
      <c r="G6" s="470"/>
      <c r="H6" s="470"/>
      <c r="I6" s="1224" t="s">
        <v>1230</v>
      </c>
      <c r="J6" s="1222"/>
      <c r="K6" s="1222"/>
      <c r="L6" s="1223"/>
      <c r="M6" s="470"/>
      <c r="N6" s="477"/>
    </row>
    <row r="7" spans="2:14" ht="15" customHeight="1">
      <c r="B7" s="1176"/>
      <c r="C7" s="769" t="s">
        <v>659</v>
      </c>
      <c r="D7" s="770"/>
      <c r="E7" s="770"/>
      <c r="F7" s="771"/>
      <c r="G7" s="471"/>
      <c r="H7" s="472"/>
      <c r="I7" s="1225" t="s">
        <v>655</v>
      </c>
      <c r="J7" s="770"/>
      <c r="K7" s="770"/>
      <c r="L7" s="771"/>
      <c r="M7" s="471"/>
      <c r="N7" s="576"/>
    </row>
    <row r="8" spans="2:14" ht="15" customHeight="1">
      <c r="B8" s="1176"/>
      <c r="C8" s="769" t="s">
        <v>1224</v>
      </c>
      <c r="D8" s="770"/>
      <c r="E8" s="770"/>
      <c r="F8" s="771"/>
      <c r="G8" s="471"/>
      <c r="H8" s="472"/>
      <c r="I8" s="354" t="s">
        <v>656</v>
      </c>
      <c r="J8" s="348"/>
      <c r="K8" s="348"/>
      <c r="L8" s="349"/>
      <c r="M8" s="471"/>
      <c r="N8" s="576"/>
    </row>
    <row r="9" spans="2:14" ht="15" customHeight="1">
      <c r="B9" s="1176"/>
      <c r="C9" s="769" t="s">
        <v>1225</v>
      </c>
      <c r="D9" s="770"/>
      <c r="E9" s="770"/>
      <c r="F9" s="771"/>
      <c r="G9" s="471"/>
      <c r="H9" s="472"/>
      <c r="I9" s="354" t="s">
        <v>657</v>
      </c>
      <c r="J9" s="348"/>
      <c r="K9" s="348"/>
      <c r="L9" s="349"/>
      <c r="M9" s="471"/>
      <c r="N9" s="576"/>
    </row>
    <row r="10" spans="2:14" ht="15" customHeight="1">
      <c r="B10" s="1176"/>
      <c r="C10" s="769" t="s">
        <v>660</v>
      </c>
      <c r="D10" s="770"/>
      <c r="E10" s="770"/>
      <c r="F10" s="771"/>
      <c r="G10" s="471"/>
      <c r="H10" s="472"/>
      <c r="I10" s="354" t="s">
        <v>658</v>
      </c>
      <c r="J10" s="348"/>
      <c r="K10" s="348"/>
      <c r="L10" s="349"/>
      <c r="M10" s="471"/>
      <c r="N10" s="576"/>
    </row>
    <row r="11" spans="2:14" ht="15" customHeight="1">
      <c r="B11" s="1176"/>
      <c r="C11" s="775" t="s">
        <v>1226</v>
      </c>
      <c r="D11" s="776"/>
      <c r="E11" s="776"/>
      <c r="F11" s="777"/>
      <c r="G11" s="471"/>
      <c r="H11" s="472"/>
      <c r="I11" s="354" t="s">
        <v>652</v>
      </c>
      <c r="J11" s="348"/>
      <c r="K11" s="348"/>
      <c r="L11" s="349"/>
      <c r="M11" s="471"/>
      <c r="N11" s="576"/>
    </row>
    <row r="12" spans="2:14" ht="15" customHeight="1">
      <c r="B12" s="1176"/>
      <c r="C12" s="775" t="s">
        <v>1227</v>
      </c>
      <c r="D12" s="776"/>
      <c r="E12" s="776"/>
      <c r="F12" s="777"/>
      <c r="G12" s="471"/>
      <c r="H12" s="472"/>
      <c r="I12" s="354" t="s">
        <v>653</v>
      </c>
      <c r="J12" s="348"/>
      <c r="K12" s="348"/>
      <c r="L12" s="349"/>
      <c r="M12" s="471"/>
      <c r="N12" s="576"/>
    </row>
    <row r="13" spans="2:14" ht="15" customHeight="1">
      <c r="B13" s="1177"/>
      <c r="C13" s="775" t="s">
        <v>1228</v>
      </c>
      <c r="D13" s="776"/>
      <c r="E13" s="776"/>
      <c r="F13" s="777"/>
      <c r="G13" s="471"/>
      <c r="H13" s="472"/>
      <c r="I13" s="354" t="s">
        <v>654</v>
      </c>
      <c r="J13" s="348"/>
      <c r="K13" s="350"/>
      <c r="L13" s="351"/>
      <c r="M13" s="471"/>
      <c r="N13" s="576"/>
    </row>
    <row r="14" spans="2:14" ht="15" customHeight="1" thickBot="1">
      <c r="B14" s="1217"/>
      <c r="C14" s="1205" t="s">
        <v>1229</v>
      </c>
      <c r="D14" s="1206"/>
      <c r="E14" s="1206"/>
      <c r="F14" s="1226"/>
      <c r="G14" s="473"/>
      <c r="H14" s="577"/>
      <c r="I14" s="1227" t="s">
        <v>107</v>
      </c>
      <c r="J14" s="1226"/>
      <c r="K14" s="1200" t="s">
        <v>405</v>
      </c>
      <c r="L14" s="1201"/>
      <c r="M14" s="473"/>
      <c r="N14" s="578"/>
    </row>
    <row r="15" spans="2:14" ht="18.75" customHeight="1">
      <c r="B15" s="1228" t="s">
        <v>6</v>
      </c>
      <c r="C15" s="1178" t="s">
        <v>1143</v>
      </c>
      <c r="D15" s="1179"/>
      <c r="E15" s="1179"/>
      <c r="F15" s="1179"/>
      <c r="G15" s="1179"/>
      <c r="H15" s="1179"/>
      <c r="I15" s="1179"/>
      <c r="J15" s="1179"/>
      <c r="K15" s="1179"/>
      <c r="L15" s="1179"/>
      <c r="M15" s="1179"/>
      <c r="N15" s="1180"/>
    </row>
    <row r="16" spans="2:14" ht="30" customHeight="1">
      <c r="B16" s="1229"/>
      <c r="C16" s="1220" t="s">
        <v>646</v>
      </c>
      <c r="D16" s="1220"/>
      <c r="E16" s="1220"/>
      <c r="F16" s="326" t="s">
        <v>670</v>
      </c>
      <c r="G16" s="1231" t="s">
        <v>497</v>
      </c>
      <c r="H16" s="1232"/>
      <c r="I16" s="1232"/>
      <c r="J16" s="1232"/>
      <c r="K16" s="1232"/>
      <c r="L16" s="1232"/>
      <c r="M16" s="1232"/>
      <c r="N16" s="1233"/>
    </row>
    <row r="17" spans="2:14" ht="15" customHeight="1">
      <c r="B17" s="1229"/>
      <c r="C17" s="1234" t="s">
        <v>661</v>
      </c>
      <c r="D17" s="1234"/>
      <c r="E17" s="1235"/>
      <c r="F17" s="474"/>
      <c r="G17" s="766"/>
      <c r="H17" s="767"/>
      <c r="I17" s="767"/>
      <c r="J17" s="767"/>
      <c r="K17" s="767"/>
      <c r="L17" s="767"/>
      <c r="M17" s="767"/>
      <c r="N17" s="768"/>
    </row>
    <row r="18" spans="2:14" ht="15" customHeight="1">
      <c r="B18" s="1229"/>
      <c r="C18" s="1234" t="s">
        <v>662</v>
      </c>
      <c r="D18" s="1234"/>
      <c r="E18" s="1235"/>
      <c r="F18" s="474"/>
      <c r="G18" s="766"/>
      <c r="H18" s="767"/>
      <c r="I18" s="767"/>
      <c r="J18" s="767"/>
      <c r="K18" s="767"/>
      <c r="L18" s="767"/>
      <c r="M18" s="767"/>
      <c r="N18" s="768"/>
    </row>
    <row r="19" spans="2:14" ht="15" customHeight="1">
      <c r="B19" s="1229"/>
      <c r="C19" s="1234" t="s">
        <v>663</v>
      </c>
      <c r="D19" s="1234"/>
      <c r="E19" s="1235"/>
      <c r="F19" s="474"/>
      <c r="G19" s="766"/>
      <c r="H19" s="767"/>
      <c r="I19" s="767"/>
      <c r="J19" s="767"/>
      <c r="K19" s="767"/>
      <c r="L19" s="767"/>
      <c r="M19" s="767"/>
      <c r="N19" s="768"/>
    </row>
    <row r="20" spans="2:14" ht="15" customHeight="1">
      <c r="B20" s="1229"/>
      <c r="C20" s="1234" t="s">
        <v>671</v>
      </c>
      <c r="D20" s="1234"/>
      <c r="E20" s="1235"/>
      <c r="F20" s="474"/>
      <c r="G20" s="766"/>
      <c r="H20" s="767"/>
      <c r="I20" s="767"/>
      <c r="J20" s="767"/>
      <c r="K20" s="767"/>
      <c r="L20" s="767"/>
      <c r="M20" s="767"/>
      <c r="N20" s="768"/>
    </row>
    <row r="21" spans="2:14" ht="15" customHeight="1" thickBot="1">
      <c r="B21" s="1230"/>
      <c r="C21" s="1236" t="s">
        <v>672</v>
      </c>
      <c r="D21" s="1236"/>
      <c r="E21" s="1237"/>
      <c r="F21" s="475"/>
      <c r="G21" s="810"/>
      <c r="H21" s="811"/>
      <c r="I21" s="811"/>
      <c r="J21" s="811"/>
      <c r="K21" s="811"/>
      <c r="L21" s="811"/>
      <c r="M21" s="811"/>
      <c r="N21" s="812"/>
    </row>
    <row r="22" spans="2:14" ht="18.75" customHeight="1">
      <c r="B22" s="1175" t="s">
        <v>7</v>
      </c>
      <c r="C22" s="1238" t="s">
        <v>1189</v>
      </c>
      <c r="D22" s="1238"/>
      <c r="E22" s="1238"/>
      <c r="F22" s="1238"/>
      <c r="G22" s="1238"/>
      <c r="H22" s="1238"/>
      <c r="I22" s="1238"/>
      <c r="J22" s="1238"/>
      <c r="K22" s="1238"/>
      <c r="L22" s="1238"/>
      <c r="M22" s="1238"/>
      <c r="N22" s="1239"/>
    </row>
    <row r="23" spans="2:14" ht="15" customHeight="1">
      <c r="B23" s="1176"/>
      <c r="C23" s="1234"/>
      <c r="D23" s="1234"/>
      <c r="E23" s="1234"/>
      <c r="F23" s="277" t="s">
        <v>450</v>
      </c>
      <c r="G23" s="1231" t="s">
        <v>669</v>
      </c>
      <c r="H23" s="1240"/>
      <c r="I23" s="1231" t="s">
        <v>497</v>
      </c>
      <c r="J23" s="1232"/>
      <c r="K23" s="1232"/>
      <c r="L23" s="1232"/>
      <c r="M23" s="1232"/>
      <c r="N23" s="1233"/>
    </row>
    <row r="24" spans="2:14" ht="15" customHeight="1">
      <c r="B24" s="1176"/>
      <c r="C24" s="1234" t="s">
        <v>664</v>
      </c>
      <c r="D24" s="1234"/>
      <c r="E24" s="769"/>
      <c r="F24" s="470"/>
      <c r="G24" s="1160"/>
      <c r="H24" s="1160"/>
      <c r="I24" s="1241"/>
      <c r="J24" s="1241"/>
      <c r="K24" s="1241"/>
      <c r="L24" s="1241"/>
      <c r="M24" s="1241"/>
      <c r="N24" s="1242"/>
    </row>
    <row r="25" spans="2:14" ht="15" customHeight="1">
      <c r="B25" s="1176"/>
      <c r="C25" s="1234" t="s">
        <v>665</v>
      </c>
      <c r="D25" s="1234"/>
      <c r="E25" s="769"/>
      <c r="F25" s="470"/>
      <c r="G25" s="1160"/>
      <c r="H25" s="1160"/>
      <c r="I25" s="1241"/>
      <c r="J25" s="1241"/>
      <c r="K25" s="1241"/>
      <c r="L25" s="1241"/>
      <c r="M25" s="1241"/>
      <c r="N25" s="1242"/>
    </row>
    <row r="26" spans="2:14" ht="15" customHeight="1">
      <c r="B26" s="1176"/>
      <c r="C26" s="1234" t="s">
        <v>666</v>
      </c>
      <c r="D26" s="1234"/>
      <c r="E26" s="769"/>
      <c r="F26" s="470"/>
      <c r="G26" s="1160"/>
      <c r="H26" s="1160"/>
      <c r="I26" s="1241"/>
      <c r="J26" s="1241"/>
      <c r="K26" s="1241"/>
      <c r="L26" s="1241"/>
      <c r="M26" s="1241"/>
      <c r="N26" s="1242"/>
    </row>
    <row r="27" spans="2:14" ht="15" customHeight="1">
      <c r="B27" s="1176"/>
      <c r="C27" s="1234" t="s">
        <v>667</v>
      </c>
      <c r="D27" s="1234"/>
      <c r="E27" s="769"/>
      <c r="F27" s="470"/>
      <c r="G27" s="1160"/>
      <c r="H27" s="1160"/>
      <c r="I27" s="1241"/>
      <c r="J27" s="1241"/>
      <c r="K27" s="1241"/>
      <c r="L27" s="1241"/>
      <c r="M27" s="1241"/>
      <c r="N27" s="1242"/>
    </row>
    <row r="28" spans="2:14" ht="15.75" customHeight="1" thickBot="1">
      <c r="B28" s="1217"/>
      <c r="C28" s="1236" t="s">
        <v>668</v>
      </c>
      <c r="D28" s="1236"/>
      <c r="E28" s="1205"/>
      <c r="F28" s="476"/>
      <c r="G28" s="1196"/>
      <c r="H28" s="1196"/>
      <c r="I28" s="1243"/>
      <c r="J28" s="1243"/>
      <c r="K28" s="1243"/>
      <c r="L28" s="1243"/>
      <c r="M28" s="1243"/>
      <c r="N28" s="1244"/>
    </row>
    <row r="29" spans="2:14" ht="18.75" customHeight="1">
      <c r="B29" s="1149" t="s">
        <v>8</v>
      </c>
      <c r="C29" s="1245" t="s">
        <v>1144</v>
      </c>
      <c r="D29" s="1246"/>
      <c r="E29" s="1246"/>
      <c r="F29" s="1246"/>
      <c r="G29" s="1246"/>
      <c r="H29" s="1246"/>
      <c r="I29" s="1246"/>
      <c r="J29" s="1246"/>
      <c r="K29" s="1246"/>
      <c r="L29" s="1246"/>
      <c r="M29" s="1246"/>
      <c r="N29" s="1247"/>
    </row>
    <row r="30" spans="2:14" ht="30" customHeight="1">
      <c r="B30" s="1149"/>
      <c r="C30" s="1248" t="s">
        <v>684</v>
      </c>
      <c r="D30" s="1249"/>
      <c r="E30" s="1250"/>
      <c r="F30" s="152" t="s">
        <v>450</v>
      </c>
      <c r="G30" s="1248" t="s">
        <v>684</v>
      </c>
      <c r="H30" s="1250"/>
      <c r="I30" s="152" t="s">
        <v>450</v>
      </c>
      <c r="J30" s="1248" t="s">
        <v>683</v>
      </c>
      <c r="K30" s="1249"/>
      <c r="L30" s="1249"/>
      <c r="M30" s="1250"/>
      <c r="N30" s="153" t="s">
        <v>682</v>
      </c>
    </row>
    <row r="31" spans="2:14" ht="15.75" customHeight="1">
      <c r="B31" s="1149"/>
      <c r="C31" s="769" t="s">
        <v>673</v>
      </c>
      <c r="D31" s="770"/>
      <c r="E31" s="770"/>
      <c r="F31" s="470"/>
      <c r="G31" s="1251" t="s">
        <v>676</v>
      </c>
      <c r="H31" s="753"/>
      <c r="I31" s="470"/>
      <c r="J31" s="1251" t="s">
        <v>679</v>
      </c>
      <c r="K31" s="752"/>
      <c r="L31" s="752"/>
      <c r="M31" s="753"/>
      <c r="N31" s="477"/>
    </row>
    <row r="32" spans="2:14" ht="15.75" customHeight="1">
      <c r="B32" s="1149"/>
      <c r="C32" s="769" t="s">
        <v>674</v>
      </c>
      <c r="D32" s="770"/>
      <c r="E32" s="770"/>
      <c r="F32" s="470"/>
      <c r="G32" s="1252" t="s">
        <v>677</v>
      </c>
      <c r="H32" s="777"/>
      <c r="I32" s="470"/>
      <c r="J32" s="1252" t="s">
        <v>680</v>
      </c>
      <c r="K32" s="776"/>
      <c r="L32" s="776"/>
      <c r="M32" s="777"/>
      <c r="N32" s="477"/>
    </row>
    <row r="33" spans="2:14" ht="15.75" customHeight="1" thickBot="1">
      <c r="B33" s="1150"/>
      <c r="C33" s="1205" t="s">
        <v>675</v>
      </c>
      <c r="D33" s="1206"/>
      <c r="E33" s="1206"/>
      <c r="F33" s="476"/>
      <c r="G33" s="1227" t="s">
        <v>678</v>
      </c>
      <c r="H33" s="1226"/>
      <c r="I33" s="476"/>
      <c r="J33" s="1227" t="s">
        <v>681</v>
      </c>
      <c r="K33" s="1206"/>
      <c r="L33" s="1206"/>
      <c r="M33" s="1226"/>
      <c r="N33" s="477"/>
    </row>
    <row r="34" spans="2:14" ht="27" customHeight="1">
      <c r="B34" s="1173" t="s">
        <v>48</v>
      </c>
      <c r="C34" s="1174"/>
      <c r="D34" s="1174"/>
      <c r="E34" s="1183"/>
      <c r="F34" s="1184"/>
      <c r="G34" s="1184"/>
      <c r="H34" s="1184"/>
      <c r="I34" s="1184"/>
      <c r="J34" s="1184"/>
      <c r="K34" s="1184"/>
      <c r="L34" s="1184"/>
      <c r="M34" s="1184"/>
      <c r="N34" s="1185"/>
    </row>
    <row r="35" spans="2:14" ht="12.75" customHeight="1">
      <c r="B35" s="1167" t="s">
        <v>4</v>
      </c>
      <c r="C35" s="1168"/>
      <c r="D35" s="1168"/>
      <c r="E35" s="1168"/>
      <c r="F35" s="1168"/>
      <c r="G35" s="1168"/>
      <c r="H35" s="1168"/>
      <c r="I35" s="1168"/>
      <c r="J35" s="1168"/>
      <c r="K35" s="1168"/>
      <c r="L35" s="1168"/>
      <c r="M35" s="1168"/>
      <c r="N35" s="1169"/>
    </row>
    <row r="36" spans="2:14" ht="12.75" customHeight="1" thickBot="1">
      <c r="B36" s="1170"/>
      <c r="C36" s="1171"/>
      <c r="D36" s="1171"/>
      <c r="E36" s="1171"/>
      <c r="F36" s="1171"/>
      <c r="G36" s="1171"/>
      <c r="H36" s="1171"/>
      <c r="I36" s="1171"/>
      <c r="J36" s="1171"/>
      <c r="K36" s="1171"/>
      <c r="L36" s="1171"/>
      <c r="M36" s="1171"/>
      <c r="N36" s="1172"/>
    </row>
  </sheetData>
  <sheetProtection password="C288" sheet="1"/>
  <mergeCells count="70">
    <mergeCell ref="B34:D34"/>
    <mergeCell ref="E34:N34"/>
    <mergeCell ref="B35:N36"/>
    <mergeCell ref="J31:M31"/>
    <mergeCell ref="C32:E32"/>
    <mergeCell ref="G32:H32"/>
    <mergeCell ref="J32:M32"/>
    <mergeCell ref="C33:E33"/>
    <mergeCell ref="G33:H33"/>
    <mergeCell ref="J33:M33"/>
    <mergeCell ref="C28:E28"/>
    <mergeCell ref="G28:H28"/>
    <mergeCell ref="I28:N28"/>
    <mergeCell ref="B29:B33"/>
    <mergeCell ref="C29:N29"/>
    <mergeCell ref="C30:E30"/>
    <mergeCell ref="G30:H30"/>
    <mergeCell ref="J30:M30"/>
    <mergeCell ref="C31:E31"/>
    <mergeCell ref="G31:H31"/>
    <mergeCell ref="I25:N25"/>
    <mergeCell ref="C26:E26"/>
    <mergeCell ref="G26:H26"/>
    <mergeCell ref="I26:N26"/>
    <mergeCell ref="C27:E27"/>
    <mergeCell ref="G27:H27"/>
    <mergeCell ref="I27:N27"/>
    <mergeCell ref="B22:B28"/>
    <mergeCell ref="C22:N22"/>
    <mergeCell ref="C23:E23"/>
    <mergeCell ref="G23:H23"/>
    <mergeCell ref="I23:N23"/>
    <mergeCell ref="C24:E24"/>
    <mergeCell ref="G24:H24"/>
    <mergeCell ref="I24:N24"/>
    <mergeCell ref="C25:E25"/>
    <mergeCell ref="G25:H25"/>
    <mergeCell ref="G18:N18"/>
    <mergeCell ref="C19:E19"/>
    <mergeCell ref="G19:N19"/>
    <mergeCell ref="C20:E20"/>
    <mergeCell ref="G20:N20"/>
    <mergeCell ref="C21:E21"/>
    <mergeCell ref="G21:N21"/>
    <mergeCell ref="C14:F14"/>
    <mergeCell ref="I14:J14"/>
    <mergeCell ref="K14:L14"/>
    <mergeCell ref="B15:B21"/>
    <mergeCell ref="C15:N15"/>
    <mergeCell ref="C16:E16"/>
    <mergeCell ref="G16:N16"/>
    <mergeCell ref="C17:E17"/>
    <mergeCell ref="G17:N17"/>
    <mergeCell ref="C18:E18"/>
    <mergeCell ref="C8:F8"/>
    <mergeCell ref="C9:F9"/>
    <mergeCell ref="C10:F10"/>
    <mergeCell ref="C11:F11"/>
    <mergeCell ref="C12:F12"/>
    <mergeCell ref="C13:F13"/>
    <mergeCell ref="B2:D2"/>
    <mergeCell ref="B3:N3"/>
    <mergeCell ref="B4:B14"/>
    <mergeCell ref="C4:N4"/>
    <mergeCell ref="C5:F5"/>
    <mergeCell ref="I5:L5"/>
    <mergeCell ref="C6:F6"/>
    <mergeCell ref="I6:L6"/>
    <mergeCell ref="C7:F7"/>
    <mergeCell ref="I7:L7"/>
  </mergeCells>
  <dataValidations count="6">
    <dataValidation type="list" allowBlank="1" showInputMessage="1" showErrorMessage="1" errorTitle="Process Method" error="Select manual, automatic, both, neither, or not applicable from the dropdown menu." sqref="F24:F28">
      <formula1>YesNoNA</formula1>
    </dataValidation>
    <dataValidation type="list" allowBlank="1" showInputMessage="1" showErrorMessage="1" sqref="N32:N33">
      <formula1>MaxAspect2</formula1>
    </dataValidation>
    <dataValidation type="list" allowBlank="1" showInputMessage="1" showErrorMessage="1" sqref="N31">
      <formula1>MaxAspect1</formula1>
    </dataValidation>
    <dataValidation type="list" allowBlank="1" showInputMessage="1" showErrorMessage="1" errorTitle="Process Method" error="Select manual, automatic, both, neither, or not applicable from the dropdown menu." sqref="G24:G28">
      <formula1>ProcMeth</formula1>
    </dataValidation>
    <dataValidation type="whole" allowBlank="1" showInputMessage="1" showErrorMessage="1" errorTitle="Number" error="Enter a whole number for your maximum capability per board." sqref="F17:F21">
      <formula1>0</formula1>
      <formula2>500000000</formula2>
    </dataValidation>
    <dataValidation type="list" allowBlank="1" showInputMessage="1" showErrorMessage="1" sqref="I31:I33 G6:H14 F31:F33 M6:N14">
      <formula1>YesNoNA</formula1>
    </dataValidation>
  </dataValidations>
  <hyperlinks>
    <hyperlink ref="B2:C2" location="'5'!A1" tooltip="Critical Suppliers" display="Previous Page"/>
    <hyperlink ref="E2:I2" location="'Table of Contents'!A1" tooltip="Table of Contents" display="Table of Contents"/>
    <hyperlink ref="N2" location="'5c'!A1" tooltip="Manufacturing Standards" display="Next Page"/>
    <hyperlink ref="B2:D2" location="'5a'!A1" tooltip="Manufacturing Capabilities" display="Previous Page"/>
  </hyperlinks>
  <pageMargins left="0.25" right="0.25" top="0.75" bottom="0.75" header="0.3" footer="0.3"/>
  <pageSetup scale="53" orientation="landscape" cellComments="atEnd" r:id="rId1"/>
  <headerFooter>
    <oddHeader>&amp;F</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7"/>
  <sheetViews>
    <sheetView showGridLines="0" showRowColHeaders="0" zoomScaleNormal="100" workbookViewId="0"/>
  </sheetViews>
  <sheetFormatPr defaultColWidth="8.85546875" defaultRowHeight="13.5" customHeight="1"/>
  <cols>
    <col min="1" max="1" width="8.5703125" style="12" customWidth="1"/>
    <col min="2" max="2" width="3.85546875" style="12" customWidth="1"/>
    <col min="3" max="3" width="9.42578125" style="12" customWidth="1"/>
    <col min="4" max="4" width="15.7109375" style="12" customWidth="1"/>
    <col min="5" max="5" width="22.85546875" style="12" customWidth="1"/>
    <col min="6" max="6" width="12.140625" style="12" customWidth="1"/>
    <col min="7" max="7" width="20" style="12" customWidth="1"/>
    <col min="8" max="9" width="22.85546875" style="12" customWidth="1"/>
    <col min="10" max="10" width="12.140625" style="12" customWidth="1"/>
    <col min="11" max="16384" width="8.85546875" style="12"/>
  </cols>
  <sheetData>
    <row r="1" spans="2:10" ht="13.5" customHeight="1" thickBot="1"/>
    <row r="2" spans="2:10" ht="13.5" customHeight="1" thickBot="1">
      <c r="B2" s="655" t="s">
        <v>487</v>
      </c>
      <c r="C2" s="656"/>
      <c r="D2" s="143"/>
      <c r="E2" s="657" t="s">
        <v>1204</v>
      </c>
      <c r="F2" s="657"/>
      <c r="G2" s="657"/>
      <c r="H2" s="657"/>
      <c r="I2" s="112"/>
      <c r="J2" s="113" t="s">
        <v>486</v>
      </c>
    </row>
    <row r="3" spans="2:10" ht="13.5" customHeight="1" thickBot="1">
      <c r="B3" s="174" t="s">
        <v>1401</v>
      </c>
      <c r="C3" s="175"/>
      <c r="D3" s="175"/>
      <c r="E3" s="175"/>
      <c r="F3" s="175"/>
      <c r="G3" s="175"/>
      <c r="H3" s="175"/>
      <c r="I3" s="175"/>
      <c r="J3" s="176"/>
    </row>
    <row r="4" spans="2:10" ht="15" customHeight="1">
      <c r="B4" s="1256" t="s">
        <v>5</v>
      </c>
      <c r="C4" s="1238" t="s">
        <v>1145</v>
      </c>
      <c r="D4" s="1238"/>
      <c r="E4" s="1238"/>
      <c r="F4" s="1238"/>
      <c r="G4" s="1238"/>
      <c r="H4" s="1238"/>
      <c r="I4" s="1238"/>
      <c r="J4" s="1239"/>
    </row>
    <row r="5" spans="2:10" ht="15" customHeight="1">
      <c r="B5" s="1257"/>
      <c r="C5" s="1220" t="s">
        <v>711</v>
      </c>
      <c r="D5" s="1220"/>
      <c r="E5" s="321" t="s">
        <v>712</v>
      </c>
      <c r="F5" s="1264" t="s">
        <v>468</v>
      </c>
      <c r="G5" s="1264"/>
      <c r="H5" s="1264"/>
      <c r="I5" s="1264"/>
      <c r="J5" s="1265"/>
    </row>
    <row r="6" spans="2:10" ht="15" customHeight="1">
      <c r="B6" s="1257"/>
      <c r="C6" s="1234" t="s">
        <v>704</v>
      </c>
      <c r="D6" s="769"/>
      <c r="E6" s="470"/>
      <c r="F6" s="796"/>
      <c r="G6" s="796"/>
      <c r="H6" s="796"/>
      <c r="I6" s="796"/>
      <c r="J6" s="797"/>
    </row>
    <row r="7" spans="2:10" ht="15" customHeight="1">
      <c r="B7" s="1257"/>
      <c r="C7" s="1234" t="s">
        <v>1234</v>
      </c>
      <c r="D7" s="769"/>
      <c r="E7" s="470"/>
      <c r="F7" s="796"/>
      <c r="G7" s="796"/>
      <c r="H7" s="796"/>
      <c r="I7" s="796"/>
      <c r="J7" s="797"/>
    </row>
    <row r="8" spans="2:10" ht="15" customHeight="1">
      <c r="B8" s="1257"/>
      <c r="C8" s="1234" t="s">
        <v>705</v>
      </c>
      <c r="D8" s="769"/>
      <c r="E8" s="470"/>
      <c r="F8" s="796"/>
      <c r="G8" s="796"/>
      <c r="H8" s="796"/>
      <c r="I8" s="796"/>
      <c r="J8" s="797"/>
    </row>
    <row r="9" spans="2:10" ht="15" customHeight="1">
      <c r="B9" s="1257"/>
      <c r="C9" s="1234" t="s">
        <v>706</v>
      </c>
      <c r="D9" s="769"/>
      <c r="E9" s="470"/>
      <c r="F9" s="796"/>
      <c r="G9" s="796"/>
      <c r="H9" s="796"/>
      <c r="I9" s="796"/>
      <c r="J9" s="797"/>
    </row>
    <row r="10" spans="2:10" ht="15" customHeight="1">
      <c r="B10" s="1257"/>
      <c r="C10" s="1234" t="s">
        <v>707</v>
      </c>
      <c r="D10" s="769"/>
      <c r="E10" s="470"/>
      <c r="F10" s="796"/>
      <c r="G10" s="796"/>
      <c r="H10" s="796"/>
      <c r="I10" s="796"/>
      <c r="J10" s="797"/>
    </row>
    <row r="11" spans="2:10" ht="15" customHeight="1">
      <c r="B11" s="1257"/>
      <c r="C11" s="1234" t="s">
        <v>708</v>
      </c>
      <c r="D11" s="769"/>
      <c r="E11" s="470"/>
      <c r="F11" s="796"/>
      <c r="G11" s="796"/>
      <c r="H11" s="796"/>
      <c r="I11" s="796"/>
      <c r="J11" s="797"/>
    </row>
    <row r="12" spans="2:10" ht="15" customHeight="1">
      <c r="B12" s="1257"/>
      <c r="C12" s="1234" t="s">
        <v>709</v>
      </c>
      <c r="D12" s="769"/>
      <c r="E12" s="470"/>
      <c r="F12" s="796"/>
      <c r="G12" s="796"/>
      <c r="H12" s="796"/>
      <c r="I12" s="796"/>
      <c r="J12" s="797"/>
    </row>
    <row r="13" spans="2:10" ht="15" customHeight="1">
      <c r="B13" s="1257"/>
      <c r="C13" s="1234" t="s">
        <v>710</v>
      </c>
      <c r="D13" s="775"/>
      <c r="E13" s="470"/>
      <c r="F13" s="796"/>
      <c r="G13" s="796"/>
      <c r="H13" s="796"/>
      <c r="I13" s="796"/>
      <c r="J13" s="797"/>
    </row>
    <row r="14" spans="2:10" ht="15" customHeight="1">
      <c r="B14" s="1257"/>
      <c r="C14" s="1234" t="s">
        <v>1235</v>
      </c>
      <c r="D14" s="775"/>
      <c r="E14" s="470"/>
      <c r="F14" s="796"/>
      <c r="G14" s="796"/>
      <c r="H14" s="796"/>
      <c r="I14" s="796"/>
      <c r="J14" s="797"/>
    </row>
    <row r="15" spans="2:10" ht="15" customHeight="1">
      <c r="B15" s="1257"/>
      <c r="C15" s="1234" t="s">
        <v>1236</v>
      </c>
      <c r="D15" s="775"/>
      <c r="E15" s="470"/>
      <c r="F15" s="796"/>
      <c r="G15" s="796"/>
      <c r="H15" s="796"/>
      <c r="I15" s="796"/>
      <c r="J15" s="797"/>
    </row>
    <row r="16" spans="2:10" ht="15" customHeight="1">
      <c r="B16" s="1257"/>
      <c r="C16" s="1234" t="s">
        <v>1237</v>
      </c>
      <c r="D16" s="775"/>
      <c r="E16" s="470"/>
      <c r="F16" s="796"/>
      <c r="G16" s="796"/>
      <c r="H16" s="796"/>
      <c r="I16" s="796"/>
      <c r="J16" s="797"/>
    </row>
    <row r="17" spans="2:10" ht="15" customHeight="1">
      <c r="B17" s="1257"/>
      <c r="C17" s="1234" t="s">
        <v>1238</v>
      </c>
      <c r="D17" s="775"/>
      <c r="E17" s="470"/>
      <c r="F17" s="796"/>
      <c r="G17" s="796"/>
      <c r="H17" s="796"/>
      <c r="I17" s="796"/>
      <c r="J17" s="797"/>
    </row>
    <row r="18" spans="2:10" ht="15" customHeight="1">
      <c r="B18" s="1257"/>
      <c r="C18" s="1234" t="s">
        <v>1239</v>
      </c>
      <c r="D18" s="775"/>
      <c r="E18" s="470"/>
      <c r="F18" s="796"/>
      <c r="G18" s="796"/>
      <c r="H18" s="796"/>
      <c r="I18" s="796"/>
      <c r="J18" s="797"/>
    </row>
    <row r="19" spans="2:10" ht="15" customHeight="1">
      <c r="B19" s="1257"/>
      <c r="C19" s="1234" t="s">
        <v>1240</v>
      </c>
      <c r="D19" s="775"/>
      <c r="E19" s="470"/>
      <c r="F19" s="796"/>
      <c r="G19" s="796"/>
      <c r="H19" s="796"/>
      <c r="I19" s="796"/>
      <c r="J19" s="797"/>
    </row>
    <row r="20" spans="2:10" ht="15" customHeight="1">
      <c r="B20" s="1257"/>
      <c r="C20" s="179" t="s">
        <v>107</v>
      </c>
      <c r="D20" s="478" t="s">
        <v>405</v>
      </c>
      <c r="E20" s="470"/>
      <c r="F20" s="796"/>
      <c r="G20" s="796"/>
      <c r="H20" s="796"/>
      <c r="I20" s="796"/>
      <c r="J20" s="797"/>
    </row>
    <row r="21" spans="2:10" ht="15" customHeight="1" thickBot="1">
      <c r="B21" s="1258"/>
      <c r="C21" s="180" t="s">
        <v>107</v>
      </c>
      <c r="D21" s="476" t="s">
        <v>405</v>
      </c>
      <c r="E21" s="476"/>
      <c r="F21" s="1262"/>
      <c r="G21" s="1262"/>
      <c r="H21" s="1262"/>
      <c r="I21" s="1262"/>
      <c r="J21" s="1263"/>
    </row>
    <row r="22" spans="2:10" ht="30" customHeight="1">
      <c r="B22" s="1228" t="s">
        <v>6</v>
      </c>
      <c r="C22" s="282" t="s">
        <v>1245</v>
      </c>
      <c r="D22" s="283"/>
      <c r="E22" s="284"/>
      <c r="F22" s="479"/>
      <c r="G22" s="1268"/>
      <c r="H22" s="1269"/>
      <c r="I22" s="1269"/>
      <c r="J22" s="1270"/>
    </row>
    <row r="23" spans="2:10" ht="30" customHeight="1" thickBot="1">
      <c r="B23" s="1230"/>
      <c r="C23" s="177" t="s">
        <v>448</v>
      </c>
      <c r="D23" s="810"/>
      <c r="E23" s="811"/>
      <c r="F23" s="811"/>
      <c r="G23" s="811"/>
      <c r="H23" s="811"/>
      <c r="I23" s="811"/>
      <c r="J23" s="812"/>
    </row>
    <row r="24" spans="2:10" ht="47.25" customHeight="1">
      <c r="B24" s="1228" t="s">
        <v>7</v>
      </c>
      <c r="C24" s="839" t="s">
        <v>1381</v>
      </c>
      <c r="D24" s="798"/>
      <c r="E24" s="798"/>
      <c r="F24" s="1253"/>
      <c r="G24" s="480"/>
      <c r="H24" s="798" t="s">
        <v>1148</v>
      </c>
      <c r="I24" s="798"/>
      <c r="J24" s="481"/>
    </row>
    <row r="25" spans="2:10" ht="30" customHeight="1" thickBot="1">
      <c r="B25" s="1229"/>
      <c r="C25" s="178" t="s">
        <v>448</v>
      </c>
      <c r="D25" s="1259"/>
      <c r="E25" s="1260"/>
      <c r="F25" s="1260"/>
      <c r="G25" s="1260"/>
      <c r="H25" s="1260"/>
      <c r="I25" s="1260"/>
      <c r="J25" s="1261"/>
    </row>
    <row r="26" spans="2:10" ht="15" customHeight="1">
      <c r="B26" s="1148" t="s">
        <v>8</v>
      </c>
      <c r="C26" s="1178" t="s">
        <v>1190</v>
      </c>
      <c r="D26" s="1179"/>
      <c r="E26" s="1179"/>
      <c r="F26" s="1179"/>
      <c r="G26" s="1179"/>
      <c r="H26" s="1179"/>
      <c r="I26" s="1179"/>
      <c r="J26" s="1180"/>
    </row>
    <row r="27" spans="2:10" ht="15" customHeight="1">
      <c r="B27" s="1149"/>
      <c r="C27" s="1220" t="s">
        <v>720</v>
      </c>
      <c r="D27" s="1220"/>
      <c r="E27" s="1220"/>
      <c r="F27" s="181" t="s">
        <v>450</v>
      </c>
      <c r="G27" s="1220" t="s">
        <v>720</v>
      </c>
      <c r="H27" s="1220"/>
      <c r="I27" s="1220"/>
      <c r="J27" s="182" t="s">
        <v>450</v>
      </c>
    </row>
    <row r="28" spans="2:10" ht="15" customHeight="1">
      <c r="B28" s="1149"/>
      <c r="C28" s="1234" t="s">
        <v>721</v>
      </c>
      <c r="D28" s="1234"/>
      <c r="E28" s="769"/>
      <c r="F28" s="470"/>
      <c r="G28" s="1266" t="s">
        <v>1191</v>
      </c>
      <c r="H28" s="1234"/>
      <c r="I28" s="769"/>
      <c r="J28" s="477"/>
    </row>
    <row r="29" spans="2:10" ht="15" customHeight="1">
      <c r="B29" s="1149"/>
      <c r="C29" s="1234" t="s">
        <v>1396</v>
      </c>
      <c r="D29" s="1234"/>
      <c r="E29" s="769"/>
      <c r="F29" s="470"/>
      <c r="G29" s="1266" t="s">
        <v>724</v>
      </c>
      <c r="H29" s="1234"/>
      <c r="I29" s="769"/>
      <c r="J29" s="477"/>
    </row>
    <row r="30" spans="2:10" ht="15" customHeight="1">
      <c r="B30" s="1149"/>
      <c r="C30" s="1234" t="s">
        <v>722</v>
      </c>
      <c r="D30" s="1234"/>
      <c r="E30" s="769"/>
      <c r="F30" s="470"/>
      <c r="G30" s="1266" t="s">
        <v>725</v>
      </c>
      <c r="H30" s="1234"/>
      <c r="I30" s="769"/>
      <c r="J30" s="477"/>
    </row>
    <row r="31" spans="2:10" ht="15" customHeight="1">
      <c r="B31" s="1149"/>
      <c r="C31" s="1234" t="s">
        <v>723</v>
      </c>
      <c r="D31" s="1234"/>
      <c r="E31" s="769"/>
      <c r="F31" s="470"/>
      <c r="G31" s="1266" t="s">
        <v>726</v>
      </c>
      <c r="H31" s="1234"/>
      <c r="I31" s="769"/>
      <c r="J31" s="477"/>
    </row>
    <row r="32" spans="2:10" ht="15" customHeight="1" thickBot="1">
      <c r="B32" s="1150"/>
      <c r="C32" s="1236" t="s">
        <v>728</v>
      </c>
      <c r="D32" s="1236"/>
      <c r="E32" s="1205"/>
      <c r="F32" s="476"/>
      <c r="G32" s="1267" t="s">
        <v>727</v>
      </c>
      <c r="H32" s="1236"/>
      <c r="I32" s="1205"/>
      <c r="J32" s="482"/>
    </row>
    <row r="33" spans="2:10" ht="30" customHeight="1">
      <c r="B33" s="1148" t="s">
        <v>9</v>
      </c>
      <c r="C33" s="798" t="s">
        <v>1146</v>
      </c>
      <c r="D33" s="798"/>
      <c r="E33" s="798"/>
      <c r="F33" s="798"/>
      <c r="G33" s="798"/>
      <c r="H33" s="798"/>
      <c r="I33" s="798"/>
      <c r="J33" s="483"/>
    </row>
    <row r="34" spans="2:10" ht="30" customHeight="1" thickBot="1">
      <c r="B34" s="1150"/>
      <c r="C34" s="1205" t="s">
        <v>1147</v>
      </c>
      <c r="D34" s="1206"/>
      <c r="E34" s="1206"/>
      <c r="F34" s="1206"/>
      <c r="G34" s="1206"/>
      <c r="H34" s="1206"/>
      <c r="I34" s="1226"/>
      <c r="J34" s="477"/>
    </row>
    <row r="35" spans="2:10" ht="27" customHeight="1">
      <c r="B35" s="1254" t="s">
        <v>48</v>
      </c>
      <c r="C35" s="1255"/>
      <c r="D35" s="1183"/>
      <c r="E35" s="1184"/>
      <c r="F35" s="1184"/>
      <c r="G35" s="1184"/>
      <c r="H35" s="1184"/>
      <c r="I35" s="1184"/>
      <c r="J35" s="1185"/>
    </row>
    <row r="36" spans="2:10" ht="12.75" customHeight="1">
      <c r="B36" s="1167" t="s">
        <v>4</v>
      </c>
      <c r="C36" s="1168"/>
      <c r="D36" s="1168"/>
      <c r="E36" s="1168"/>
      <c r="F36" s="1168"/>
      <c r="G36" s="1168"/>
      <c r="H36" s="1168"/>
      <c r="I36" s="1168"/>
      <c r="J36" s="1169"/>
    </row>
    <row r="37" spans="2:10" ht="12.75" customHeight="1" thickBot="1">
      <c r="B37" s="1170"/>
      <c r="C37" s="1171"/>
      <c r="D37" s="1171"/>
      <c r="E37" s="1171"/>
      <c r="F37" s="1171"/>
      <c r="G37" s="1171"/>
      <c r="H37" s="1171"/>
      <c r="I37" s="1171"/>
      <c r="J37" s="1172"/>
    </row>
  </sheetData>
  <sheetProtection password="C288" sheet="1"/>
  <mergeCells count="63">
    <mergeCell ref="C19:D19"/>
    <mergeCell ref="C12:D12"/>
    <mergeCell ref="F19:J19"/>
    <mergeCell ref="G22:J22"/>
    <mergeCell ref="F7:J7"/>
    <mergeCell ref="F14:J14"/>
    <mergeCell ref="F15:J15"/>
    <mergeCell ref="F16:J16"/>
    <mergeCell ref="F17:J17"/>
    <mergeCell ref="F18:J18"/>
    <mergeCell ref="C7:D7"/>
    <mergeCell ref="C14:D14"/>
    <mergeCell ref="C15:D15"/>
    <mergeCell ref="C16:D16"/>
    <mergeCell ref="C17:D17"/>
    <mergeCell ref="C18:D18"/>
    <mergeCell ref="F12:J12"/>
    <mergeCell ref="D35:J35"/>
    <mergeCell ref="G27:I27"/>
    <mergeCell ref="G28:I28"/>
    <mergeCell ref="G29:I29"/>
    <mergeCell ref="G30:I30"/>
    <mergeCell ref="C32:E32"/>
    <mergeCell ref="C27:E27"/>
    <mergeCell ref="C28:E28"/>
    <mergeCell ref="C29:E29"/>
    <mergeCell ref="C30:E30"/>
    <mergeCell ref="G31:I31"/>
    <mergeCell ref="G32:I32"/>
    <mergeCell ref="B22:B23"/>
    <mergeCell ref="B24:B25"/>
    <mergeCell ref="C33:I33"/>
    <mergeCell ref="B26:B32"/>
    <mergeCell ref="B2:C2"/>
    <mergeCell ref="E2:H2"/>
    <mergeCell ref="C4:J4"/>
    <mergeCell ref="F5:J5"/>
    <mergeCell ref="F8:J8"/>
    <mergeCell ref="C13:D13"/>
    <mergeCell ref="C9:D9"/>
    <mergeCell ref="F6:J6"/>
    <mergeCell ref="F10:J10"/>
    <mergeCell ref="F9:J9"/>
    <mergeCell ref="C5:D5"/>
    <mergeCell ref="C31:E31"/>
    <mergeCell ref="F21:J21"/>
    <mergeCell ref="C6:D6"/>
    <mergeCell ref="C8:D8"/>
    <mergeCell ref="C34:I34"/>
    <mergeCell ref="C26:J26"/>
    <mergeCell ref="F11:J11"/>
    <mergeCell ref="F20:J20"/>
    <mergeCell ref="H24:I24"/>
    <mergeCell ref="B36:J37"/>
    <mergeCell ref="F13:J13"/>
    <mergeCell ref="C10:D10"/>
    <mergeCell ref="C11:D11"/>
    <mergeCell ref="C24:F24"/>
    <mergeCell ref="D23:J23"/>
    <mergeCell ref="B35:C35"/>
    <mergeCell ref="B4:B21"/>
    <mergeCell ref="B33:B34"/>
    <mergeCell ref="D25:J25"/>
  </mergeCells>
  <dataValidations count="4">
    <dataValidation type="list" allowBlank="1" showInputMessage="1" showErrorMessage="1" sqref="F22 J24">
      <formula1>YesNo</formula1>
    </dataValidation>
    <dataValidation type="list" allowBlank="1" showInputMessage="1" showErrorMessage="1" sqref="G24">
      <formula1>InspMethod</formula1>
    </dataValidation>
    <dataValidation type="list" allowBlank="1" showInputMessage="1" showErrorMessage="1" sqref="F28:F32 J28:J34">
      <formula1>YesNoNA</formula1>
    </dataValidation>
    <dataValidation type="list" allowBlank="1" showInputMessage="1" showErrorMessage="1" sqref="E6:E21">
      <formula1>FormalInform</formula1>
    </dataValidation>
  </dataValidations>
  <hyperlinks>
    <hyperlink ref="B2:C2" location="'5b'!A1" tooltip="Manufacturing Capabilities (cont.)" display="Previous Page"/>
    <hyperlink ref="F2:H2" location="'Table of Contents'!A1" tooltip="Table of Contents" display="Table of Contents"/>
    <hyperlink ref="J2" location="'5d'!A1" tooltip="Manufacturing Production &amp; Capacity" display="Next Page"/>
  </hyperlinks>
  <pageMargins left="0.25" right="0.25" top="0.75" bottom="0.75" header="0.3" footer="0.3"/>
  <pageSetup scale="80" orientation="landscape" cellComments="atEnd" r:id="rId1"/>
  <headerFooter>
    <oddHeader>&amp;F</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8"/>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3.5703125" style="45" customWidth="1"/>
    <col min="4" max="4" width="15" style="45" customWidth="1"/>
    <col min="5" max="6" width="12.85546875" style="45" customWidth="1"/>
    <col min="7" max="12" width="12.5703125" style="45" customWidth="1"/>
    <col min="13" max="16384" width="8.85546875" style="45"/>
  </cols>
  <sheetData>
    <row r="1" spans="2:13" ht="13.5" customHeight="1" thickBot="1"/>
    <row r="2" spans="2:13" ht="13.5" customHeight="1" thickBot="1">
      <c r="B2" s="655" t="s">
        <v>487</v>
      </c>
      <c r="C2" s="656"/>
      <c r="D2" s="656"/>
      <c r="E2" s="143"/>
      <c r="F2" s="657" t="s">
        <v>1204</v>
      </c>
      <c r="G2" s="657"/>
      <c r="H2" s="657"/>
      <c r="I2" s="657"/>
      <c r="J2" s="657"/>
      <c r="K2" s="183"/>
      <c r="L2" s="113" t="s">
        <v>486</v>
      </c>
    </row>
    <row r="3" spans="2:13" ht="13.5" customHeight="1" thickBot="1">
      <c r="B3" s="174" t="s">
        <v>1382</v>
      </c>
      <c r="C3" s="175"/>
      <c r="D3" s="175"/>
      <c r="E3" s="175"/>
      <c r="F3" s="175"/>
      <c r="G3" s="175"/>
      <c r="H3" s="175"/>
      <c r="I3" s="175"/>
      <c r="J3" s="175"/>
      <c r="K3" s="175"/>
      <c r="L3" s="176"/>
    </row>
    <row r="4" spans="2:13" ht="30.75" customHeight="1">
      <c r="B4" s="1274" t="s">
        <v>5</v>
      </c>
      <c r="C4" s="856" t="s">
        <v>731</v>
      </c>
      <c r="D4" s="857"/>
      <c r="E4" s="857"/>
      <c r="F4" s="857"/>
      <c r="G4" s="857"/>
      <c r="H4" s="857"/>
      <c r="I4" s="857"/>
      <c r="J4" s="857"/>
      <c r="K4" s="857"/>
      <c r="L4" s="858"/>
    </row>
    <row r="5" spans="2:13" ht="67.5" customHeight="1">
      <c r="B5" s="1275"/>
      <c r="C5" s="1276" t="s">
        <v>1246</v>
      </c>
      <c r="D5" s="854"/>
      <c r="E5" s="770"/>
      <c r="F5" s="770"/>
      <c r="G5" s="770"/>
      <c r="H5" s="770"/>
      <c r="I5" s="770"/>
      <c r="J5" s="770"/>
      <c r="K5" s="770"/>
      <c r="L5" s="1277"/>
      <c r="M5" s="45" t="s">
        <v>455</v>
      </c>
    </row>
    <row r="6" spans="2:13" ht="15" customHeight="1">
      <c r="B6" s="1275"/>
      <c r="C6" s="1151"/>
      <c r="D6" s="1152"/>
      <c r="E6" s="1152"/>
      <c r="F6" s="1152"/>
      <c r="G6" s="1152"/>
      <c r="H6" s="1273"/>
      <c r="I6" s="204">
        <v>2012</v>
      </c>
      <c r="J6" s="330">
        <v>2013</v>
      </c>
      <c r="K6" s="205">
        <v>2014</v>
      </c>
      <c r="L6" s="206">
        <v>2015</v>
      </c>
    </row>
    <row r="7" spans="2:13" ht="15" customHeight="1">
      <c r="B7" s="1275"/>
      <c r="C7" s="769" t="s">
        <v>1150</v>
      </c>
      <c r="D7" s="770"/>
      <c r="E7" s="770"/>
      <c r="F7" s="770"/>
      <c r="G7" s="770"/>
      <c r="H7" s="771"/>
      <c r="I7" s="470"/>
      <c r="J7" s="470"/>
      <c r="K7" s="470"/>
      <c r="L7" s="477"/>
    </row>
    <row r="8" spans="2:13" ht="15" customHeight="1" thickBot="1">
      <c r="B8" s="1275"/>
      <c r="C8" s="775" t="s">
        <v>1149</v>
      </c>
      <c r="D8" s="776"/>
      <c r="E8" s="776"/>
      <c r="F8" s="776"/>
      <c r="G8" s="776"/>
      <c r="H8" s="777"/>
      <c r="I8" s="478"/>
      <c r="J8" s="478"/>
      <c r="K8" s="478"/>
      <c r="L8" s="484"/>
    </row>
    <row r="9" spans="2:13" ht="24.75" customHeight="1">
      <c r="B9" s="1274" t="s">
        <v>6</v>
      </c>
      <c r="C9" s="1238" t="s">
        <v>1079</v>
      </c>
      <c r="D9" s="1238"/>
      <c r="E9" s="1238"/>
      <c r="F9" s="1238"/>
      <c r="G9" s="1238"/>
      <c r="H9" s="1238"/>
      <c r="I9" s="1238"/>
      <c r="J9" s="1238"/>
      <c r="K9" s="1238"/>
      <c r="L9" s="1239"/>
    </row>
    <row r="10" spans="2:13" ht="15" customHeight="1">
      <c r="B10" s="1275"/>
      <c r="C10" s="1220" t="s">
        <v>1080</v>
      </c>
      <c r="D10" s="1220"/>
      <c r="E10" s="321" t="s">
        <v>1082</v>
      </c>
      <c r="F10" s="321" t="s">
        <v>1083</v>
      </c>
      <c r="G10" s="321" t="s">
        <v>1084</v>
      </c>
      <c r="H10" s="321" t="s">
        <v>1085</v>
      </c>
      <c r="I10" s="321" t="s">
        <v>1380</v>
      </c>
      <c r="J10" s="321" t="s">
        <v>1086</v>
      </c>
      <c r="K10" s="321" t="s">
        <v>1087</v>
      </c>
      <c r="L10" s="322" t="s">
        <v>107</v>
      </c>
    </row>
    <row r="11" spans="2:13" ht="15" customHeight="1">
      <c r="B11" s="1275"/>
      <c r="C11" s="1220" t="s">
        <v>1081</v>
      </c>
      <c r="D11" s="1151"/>
      <c r="E11" s="485"/>
      <c r="F11" s="485"/>
      <c r="G11" s="485"/>
      <c r="H11" s="485"/>
      <c r="I11" s="485"/>
      <c r="J11" s="485"/>
      <c r="K11" s="485"/>
      <c r="L11" s="486"/>
    </row>
    <row r="12" spans="2:13" ht="26.25" customHeight="1" thickBot="1">
      <c r="B12" s="1280"/>
      <c r="C12" s="1271" t="s">
        <v>448</v>
      </c>
      <c r="D12" s="1272"/>
      <c r="E12" s="1186"/>
      <c r="F12" s="1187"/>
      <c r="G12" s="1187"/>
      <c r="H12" s="1187"/>
      <c r="I12" s="1187"/>
      <c r="J12" s="1187"/>
      <c r="K12" s="1187"/>
      <c r="L12" s="1188"/>
    </row>
    <row r="13" spans="2:13" ht="30" customHeight="1">
      <c r="B13" s="1275" t="s">
        <v>7</v>
      </c>
      <c r="C13" s="1287" t="s">
        <v>924</v>
      </c>
      <c r="D13" s="752"/>
      <c r="E13" s="752"/>
      <c r="F13" s="752"/>
      <c r="G13" s="752"/>
      <c r="H13" s="752"/>
      <c r="I13" s="752"/>
      <c r="J13" s="752"/>
      <c r="K13" s="317" t="s">
        <v>730</v>
      </c>
      <c r="L13" s="270" t="s">
        <v>729</v>
      </c>
    </row>
    <row r="14" spans="2:13" ht="15" customHeight="1" thickBot="1">
      <c r="B14" s="1280"/>
      <c r="C14" s="1288"/>
      <c r="D14" s="1289"/>
      <c r="E14" s="1289"/>
      <c r="F14" s="1289"/>
      <c r="G14" s="1289"/>
      <c r="H14" s="1289"/>
      <c r="I14" s="1289"/>
      <c r="J14" s="1289"/>
      <c r="K14" s="487"/>
      <c r="L14" s="488"/>
    </row>
    <row r="15" spans="2:13" ht="15" customHeight="1">
      <c r="B15" s="1274" t="s">
        <v>8</v>
      </c>
      <c r="C15" s="1178" t="s">
        <v>1151</v>
      </c>
      <c r="D15" s="1179"/>
      <c r="E15" s="1179"/>
      <c r="F15" s="1179"/>
      <c r="G15" s="1179"/>
      <c r="H15" s="1179"/>
      <c r="I15" s="1179"/>
      <c r="J15" s="1179"/>
      <c r="K15" s="1179"/>
      <c r="L15" s="484"/>
    </row>
    <row r="16" spans="2:13" ht="15" customHeight="1">
      <c r="B16" s="1275"/>
      <c r="C16" s="841" t="s">
        <v>1153</v>
      </c>
      <c r="D16" s="842"/>
      <c r="E16" s="842"/>
      <c r="F16" s="842"/>
      <c r="G16" s="842"/>
      <c r="H16" s="842"/>
      <c r="I16" s="842"/>
      <c r="J16" s="842"/>
      <c r="K16" s="843"/>
      <c r="L16" s="484"/>
    </row>
    <row r="17" spans="2:22" ht="15" customHeight="1">
      <c r="B17" s="1275"/>
      <c r="C17" s="769" t="s">
        <v>1152</v>
      </c>
      <c r="D17" s="770"/>
      <c r="E17" s="770"/>
      <c r="F17" s="770"/>
      <c r="G17" s="770"/>
      <c r="H17" s="770"/>
      <c r="I17" s="770"/>
      <c r="J17" s="770"/>
      <c r="K17" s="771"/>
      <c r="L17" s="484"/>
    </row>
    <row r="18" spans="2:22" ht="15" customHeight="1">
      <c r="B18" s="1275"/>
      <c r="C18" s="769" t="s">
        <v>1247</v>
      </c>
      <c r="D18" s="770"/>
      <c r="E18" s="770"/>
      <c r="F18" s="770"/>
      <c r="G18" s="770"/>
      <c r="H18" s="770"/>
      <c r="I18" s="770"/>
      <c r="J18" s="770"/>
      <c r="K18" s="771"/>
      <c r="L18" s="484"/>
    </row>
    <row r="19" spans="2:22" ht="30" customHeight="1" thickBot="1">
      <c r="B19" s="1280"/>
      <c r="C19" s="1281" t="s">
        <v>448</v>
      </c>
      <c r="D19" s="1282"/>
      <c r="E19" s="1186"/>
      <c r="F19" s="1187"/>
      <c r="G19" s="1187"/>
      <c r="H19" s="1187"/>
      <c r="I19" s="1187"/>
      <c r="J19" s="1187"/>
      <c r="K19" s="1187"/>
      <c r="L19" s="1188"/>
    </row>
    <row r="20" spans="2:22" ht="57" customHeight="1">
      <c r="B20" s="1148" t="s">
        <v>9</v>
      </c>
      <c r="C20" s="856" t="s">
        <v>1154</v>
      </c>
      <c r="D20" s="857"/>
      <c r="E20" s="857"/>
      <c r="F20" s="857"/>
      <c r="G20" s="857"/>
      <c r="H20" s="857"/>
      <c r="I20" s="857"/>
      <c r="J20" s="857"/>
      <c r="K20" s="857"/>
      <c r="L20" s="858"/>
    </row>
    <row r="21" spans="2:22" ht="31.5" customHeight="1">
      <c r="B21" s="1149"/>
      <c r="C21" s="1292" t="s">
        <v>925</v>
      </c>
      <c r="D21" s="1293"/>
      <c r="E21" s="1294"/>
      <c r="F21" s="1294"/>
      <c r="G21" s="1294"/>
      <c r="H21" s="1294"/>
      <c r="I21" s="207">
        <v>2012</v>
      </c>
      <c r="J21" s="330">
        <v>2013</v>
      </c>
      <c r="K21" s="205">
        <v>2014</v>
      </c>
      <c r="L21" s="206">
        <v>2015</v>
      </c>
      <c r="T21" s="253"/>
      <c r="U21" s="253"/>
      <c r="V21" s="253"/>
    </row>
    <row r="22" spans="2:22" ht="30" customHeight="1" thickBot="1">
      <c r="B22" s="1150"/>
      <c r="C22" s="1295"/>
      <c r="D22" s="1296"/>
      <c r="E22" s="1296"/>
      <c r="F22" s="1296"/>
      <c r="G22" s="1296"/>
      <c r="H22" s="1296"/>
      <c r="I22" s="489"/>
      <c r="J22" s="489"/>
      <c r="K22" s="489"/>
      <c r="L22" s="490"/>
      <c r="T22" s="253"/>
      <c r="U22" s="253"/>
      <c r="V22" s="253"/>
    </row>
    <row r="23" spans="2:22" ht="30" customHeight="1">
      <c r="B23" s="1148" t="s">
        <v>10</v>
      </c>
      <c r="C23" s="856" t="s">
        <v>2248</v>
      </c>
      <c r="D23" s="857"/>
      <c r="E23" s="857"/>
      <c r="F23" s="857"/>
      <c r="G23" s="857"/>
      <c r="H23" s="857"/>
      <c r="I23" s="857"/>
      <c r="J23" s="857"/>
      <c r="K23" s="1159"/>
      <c r="L23" s="483"/>
    </row>
    <row r="24" spans="2:22" ht="30" customHeight="1">
      <c r="B24" s="1149"/>
      <c r="C24" s="853" t="s">
        <v>1155</v>
      </c>
      <c r="D24" s="854"/>
      <c r="E24" s="854"/>
      <c r="F24" s="854"/>
      <c r="G24" s="854"/>
      <c r="H24" s="854"/>
      <c r="I24" s="854"/>
      <c r="J24" s="854"/>
      <c r="K24" s="855"/>
      <c r="L24" s="477"/>
    </row>
    <row r="25" spans="2:22" ht="30" customHeight="1" thickBot="1">
      <c r="B25" s="1149"/>
      <c r="C25" s="1283" t="s">
        <v>448</v>
      </c>
      <c r="D25" s="1284"/>
      <c r="E25" s="1301"/>
      <c r="F25" s="1302"/>
      <c r="G25" s="1302"/>
      <c r="H25" s="1302"/>
      <c r="I25" s="1302"/>
      <c r="J25" s="1302"/>
      <c r="K25" s="1302"/>
      <c r="L25" s="1303"/>
    </row>
    <row r="26" spans="2:22" ht="30" customHeight="1">
      <c r="B26" s="1175" t="s">
        <v>11</v>
      </c>
      <c r="C26" s="1285" t="s">
        <v>2249</v>
      </c>
      <c r="D26" s="1285"/>
      <c r="E26" s="1285"/>
      <c r="F26" s="1285"/>
      <c r="G26" s="1285"/>
      <c r="H26" s="1285"/>
      <c r="I26" s="1285"/>
      <c r="J26" s="1285"/>
      <c r="K26" s="1285"/>
      <c r="L26" s="1286"/>
    </row>
    <row r="27" spans="2:22" ht="12.75" customHeight="1">
      <c r="B27" s="1176"/>
      <c r="C27" s="1283" t="s">
        <v>646</v>
      </c>
      <c r="D27" s="1304"/>
      <c r="E27" s="1304"/>
      <c r="F27" s="1305"/>
      <c r="G27" s="1291" t="s">
        <v>926</v>
      </c>
      <c r="H27" s="1291"/>
      <c r="I27" s="1297" t="s">
        <v>497</v>
      </c>
      <c r="J27" s="1297"/>
      <c r="K27" s="1297"/>
      <c r="L27" s="1298"/>
    </row>
    <row r="28" spans="2:22" ht="12.75" customHeight="1">
      <c r="B28" s="1176"/>
      <c r="C28" s="1153"/>
      <c r="D28" s="1154"/>
      <c r="E28" s="1154"/>
      <c r="F28" s="1306"/>
      <c r="G28" s="254">
        <v>1</v>
      </c>
      <c r="H28" s="254">
        <v>1.5</v>
      </c>
      <c r="I28" s="1299"/>
      <c r="J28" s="1299"/>
      <c r="K28" s="1299"/>
      <c r="L28" s="1300"/>
    </row>
    <row r="29" spans="2:22" ht="15" customHeight="1">
      <c r="B29" s="1176"/>
      <c r="C29" s="323">
        <v>1</v>
      </c>
      <c r="D29" s="841" t="s">
        <v>931</v>
      </c>
      <c r="E29" s="842"/>
      <c r="F29" s="843"/>
      <c r="G29" s="462"/>
      <c r="H29" s="462"/>
      <c r="I29" s="1278"/>
      <c r="J29" s="1278"/>
      <c r="K29" s="1278"/>
      <c r="L29" s="1279"/>
    </row>
    <row r="30" spans="2:22" ht="15" customHeight="1">
      <c r="B30" s="1176"/>
      <c r="C30" s="323">
        <v>2</v>
      </c>
      <c r="D30" s="841" t="s">
        <v>932</v>
      </c>
      <c r="E30" s="842"/>
      <c r="F30" s="843"/>
      <c r="G30" s="462"/>
      <c r="H30" s="462"/>
      <c r="I30" s="1278"/>
      <c r="J30" s="1278"/>
      <c r="K30" s="1278"/>
      <c r="L30" s="1279"/>
    </row>
    <row r="31" spans="2:22" ht="15" customHeight="1">
      <c r="B31" s="1176"/>
      <c r="C31" s="323">
        <v>3</v>
      </c>
      <c r="D31" s="841" t="s">
        <v>933</v>
      </c>
      <c r="E31" s="842"/>
      <c r="F31" s="843"/>
      <c r="G31" s="462"/>
      <c r="H31" s="462"/>
      <c r="I31" s="1278"/>
      <c r="J31" s="1278"/>
      <c r="K31" s="1278"/>
      <c r="L31" s="1279"/>
    </row>
    <row r="32" spans="2:22" ht="15" customHeight="1">
      <c r="B32" s="1176"/>
      <c r="C32" s="323">
        <v>4</v>
      </c>
      <c r="D32" s="841" t="s">
        <v>927</v>
      </c>
      <c r="E32" s="842"/>
      <c r="F32" s="843"/>
      <c r="G32" s="462"/>
      <c r="H32" s="462"/>
      <c r="I32" s="1278"/>
      <c r="J32" s="1278"/>
      <c r="K32" s="1278"/>
      <c r="L32" s="1279"/>
    </row>
    <row r="33" spans="2:12" ht="15" customHeight="1">
      <c r="B33" s="1176"/>
      <c r="C33" s="323">
        <v>5</v>
      </c>
      <c r="D33" s="841" t="s">
        <v>928</v>
      </c>
      <c r="E33" s="842"/>
      <c r="F33" s="843"/>
      <c r="G33" s="462"/>
      <c r="H33" s="462"/>
      <c r="I33" s="1278"/>
      <c r="J33" s="1278"/>
      <c r="K33" s="1278"/>
      <c r="L33" s="1279"/>
    </row>
    <row r="34" spans="2:12" ht="15" customHeight="1">
      <c r="B34" s="1176"/>
      <c r="C34" s="323">
        <v>6</v>
      </c>
      <c r="D34" s="841" t="s">
        <v>929</v>
      </c>
      <c r="E34" s="842"/>
      <c r="F34" s="843"/>
      <c r="G34" s="462"/>
      <c r="H34" s="462"/>
      <c r="I34" s="1278"/>
      <c r="J34" s="1278"/>
      <c r="K34" s="1278"/>
      <c r="L34" s="1279"/>
    </row>
    <row r="35" spans="2:12" ht="15" customHeight="1" thickBot="1">
      <c r="B35" s="1217"/>
      <c r="C35" s="255">
        <v>7</v>
      </c>
      <c r="D35" s="772" t="s">
        <v>930</v>
      </c>
      <c r="E35" s="773"/>
      <c r="F35" s="774"/>
      <c r="G35" s="463"/>
      <c r="H35" s="463"/>
      <c r="I35" s="1307"/>
      <c r="J35" s="1307"/>
      <c r="K35" s="1307"/>
      <c r="L35" s="1308"/>
    </row>
    <row r="36" spans="2:12" ht="27" customHeight="1">
      <c r="B36" s="1173" t="s">
        <v>48</v>
      </c>
      <c r="C36" s="1174"/>
      <c r="D36" s="1290"/>
      <c r="E36" s="1183"/>
      <c r="F36" s="1184"/>
      <c r="G36" s="1184"/>
      <c r="H36" s="1184"/>
      <c r="I36" s="1184"/>
      <c r="J36" s="1184"/>
      <c r="K36" s="1184"/>
      <c r="L36" s="1185"/>
    </row>
    <row r="37" spans="2:12" ht="12.75" customHeight="1">
      <c r="B37" s="1167" t="s">
        <v>4</v>
      </c>
      <c r="C37" s="1168"/>
      <c r="D37" s="1168"/>
      <c r="E37" s="1168"/>
      <c r="F37" s="1168"/>
      <c r="G37" s="1168"/>
      <c r="H37" s="1168"/>
      <c r="I37" s="1168"/>
      <c r="J37" s="1168"/>
      <c r="K37" s="1168"/>
      <c r="L37" s="1169"/>
    </row>
    <row r="38" spans="2:12" ht="12.75" customHeight="1" thickBot="1">
      <c r="B38" s="1170"/>
      <c r="C38" s="1171"/>
      <c r="D38" s="1171"/>
      <c r="E38" s="1171"/>
      <c r="F38" s="1171"/>
      <c r="G38" s="1171"/>
      <c r="H38" s="1171"/>
      <c r="I38" s="1171"/>
      <c r="J38" s="1171"/>
      <c r="K38" s="1171"/>
      <c r="L38" s="1172"/>
    </row>
  </sheetData>
  <sheetProtection password="C288" sheet="1"/>
  <mergeCells count="53">
    <mergeCell ref="I29:L29"/>
    <mergeCell ref="I30:L30"/>
    <mergeCell ref="I31:L31"/>
    <mergeCell ref="D32:F32"/>
    <mergeCell ref="D33:F33"/>
    <mergeCell ref="D34:F34"/>
    <mergeCell ref="D35:F35"/>
    <mergeCell ref="I34:L34"/>
    <mergeCell ref="I35:L35"/>
    <mergeCell ref="B15:B19"/>
    <mergeCell ref="I27:L28"/>
    <mergeCell ref="E25:L25"/>
    <mergeCell ref="C18:K18"/>
    <mergeCell ref="C17:K17"/>
    <mergeCell ref="C27:F28"/>
    <mergeCell ref="E36:L36"/>
    <mergeCell ref="B37:L38"/>
    <mergeCell ref="B36:D36"/>
    <mergeCell ref="B20:B22"/>
    <mergeCell ref="B23:B25"/>
    <mergeCell ref="G27:H27"/>
    <mergeCell ref="D31:F31"/>
    <mergeCell ref="I32:L32"/>
    <mergeCell ref="D29:F29"/>
    <mergeCell ref="D30:F30"/>
    <mergeCell ref="C23:K23"/>
    <mergeCell ref="C25:D25"/>
    <mergeCell ref="C26:L26"/>
    <mergeCell ref="C13:J14"/>
    <mergeCell ref="C16:K16"/>
    <mergeCell ref="E19:L19"/>
    <mergeCell ref="C21:H22"/>
    <mergeCell ref="C20:L20"/>
    <mergeCell ref="C5:L5"/>
    <mergeCell ref="C4:L4"/>
    <mergeCell ref="C7:H7"/>
    <mergeCell ref="I33:L33"/>
    <mergeCell ref="B9:B12"/>
    <mergeCell ref="B26:B35"/>
    <mergeCell ref="C19:D19"/>
    <mergeCell ref="C24:K24"/>
    <mergeCell ref="B13:B14"/>
    <mergeCell ref="C15:K15"/>
    <mergeCell ref="C9:L9"/>
    <mergeCell ref="C10:D10"/>
    <mergeCell ref="C11:D11"/>
    <mergeCell ref="C12:D12"/>
    <mergeCell ref="E12:L12"/>
    <mergeCell ref="B2:D2"/>
    <mergeCell ref="F2:J2"/>
    <mergeCell ref="C8:H8"/>
    <mergeCell ref="C6:H6"/>
    <mergeCell ref="B4:B8"/>
  </mergeCells>
  <dataValidations count="7">
    <dataValidation type="decimal" allowBlank="1" showInputMessage="1" showErrorMessage="1" errorTitle="Number" error="Estimate the average number manufactured per week." sqref="I7:L8">
      <formula1>0</formula1>
      <formula2>90000000000000</formula2>
    </dataValidation>
    <dataValidation type="decimal" allowBlank="1" showInputMessage="1" showErrorMessage="1" errorTitle="Number" error="Estimate your 2015 weekly rated capacity in units." sqref="K14:L14">
      <formula1>0</formula1>
      <formula2>90000000000</formula2>
    </dataValidation>
    <dataValidation type="list" allowBlank="1" showInputMessage="1" showErrorMessage="1" errorTitle="Number" error="Select 0, 1, 2, or 3 shifts per day from the dropdown menu." sqref="L15:L18">
      <formula1>Shifts</formula1>
    </dataValidation>
    <dataValidation type="decimal" allowBlank="1" showInputMessage="1" showErrorMessage="1" errorTitle="Percentage" error="Enter a percentage between 0% and 100%." sqref="I22:L22">
      <formula1>0</formula1>
      <formula2>1</formula2>
    </dataValidation>
    <dataValidation type="whole" allowBlank="1" showInputMessage="1" showErrorMessage="1" errorTitle="Weeks" error="Enter the number of weeks as a whole number." sqref="L23:L24">
      <formula1>0</formula1>
      <formula2>50000</formula2>
    </dataValidation>
    <dataValidation type="list" allowBlank="1" showInputMessage="1" showErrorMessage="1" sqref="G29:H35">
      <formula1>YesNo</formula1>
    </dataValidation>
    <dataValidation type="list" allowBlank="1" showInputMessage="1" showErrorMessage="1" errorTitle="Number" error="Estimate the average number manufactured per week." sqref="E11:L11">
      <formula1>YesNo</formula1>
    </dataValidation>
  </dataValidations>
  <hyperlinks>
    <hyperlink ref="B2:C2" location="'5'!A1" tooltip="Critical Suppliers" display="Previous Page"/>
    <hyperlink ref="L2" location="'5e'!A1" tooltip="Manufacturing Production &amp; Capacity (continued)" display="Next Page"/>
    <hyperlink ref="B2:D2" location="'5c'!A1" tooltip="Manufacturing Standards" display="Previous Page"/>
  </hyperlinks>
  <pageMargins left="0.25" right="0.25" top="0.75" bottom="0.75" header="0.3" footer="0.3"/>
  <pageSetup scale="64" orientation="landscape" cellComments="atEnd" r:id="rId1"/>
  <headerFooter>
    <oddHeader>&amp;F</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3.5703125" style="45" customWidth="1"/>
    <col min="4" max="4" width="48" style="45" customWidth="1"/>
    <col min="5" max="5" width="12.85546875" style="45" customWidth="1"/>
    <col min="6" max="11" width="12.5703125" style="45" customWidth="1"/>
    <col min="12" max="16384" width="8.85546875" style="45"/>
  </cols>
  <sheetData>
    <row r="1" spans="2:11" ht="13.5" customHeight="1" thickBot="1"/>
    <row r="2" spans="2:11" ht="13.5" customHeight="1" thickBot="1">
      <c r="B2" s="655" t="s">
        <v>487</v>
      </c>
      <c r="C2" s="656"/>
      <c r="D2" s="656"/>
      <c r="E2" s="657" t="s">
        <v>1204</v>
      </c>
      <c r="F2" s="657"/>
      <c r="G2" s="575"/>
      <c r="H2" s="575"/>
      <c r="I2" s="575"/>
      <c r="J2" s="183"/>
      <c r="K2" s="113" t="s">
        <v>486</v>
      </c>
    </row>
    <row r="3" spans="2:11" ht="13.5" customHeight="1" thickBot="1">
      <c r="B3" s="174" t="s">
        <v>1383</v>
      </c>
      <c r="C3" s="175"/>
      <c r="D3" s="175"/>
      <c r="E3" s="175"/>
      <c r="F3" s="175"/>
      <c r="G3" s="175"/>
      <c r="H3" s="175"/>
      <c r="I3" s="175"/>
      <c r="J3" s="175"/>
      <c r="K3" s="176"/>
    </row>
    <row r="4" spans="2:11" ht="15" customHeight="1">
      <c r="B4" s="1148" t="s">
        <v>5</v>
      </c>
      <c r="C4" s="1178" t="s">
        <v>1326</v>
      </c>
      <c r="D4" s="1179"/>
      <c r="E4" s="1179"/>
      <c r="F4" s="1179"/>
      <c r="G4" s="1179"/>
      <c r="H4" s="1179"/>
      <c r="I4" s="1179"/>
      <c r="J4" s="1179"/>
      <c r="K4" s="1180"/>
    </row>
    <row r="5" spans="2:11" ht="30.75" customHeight="1">
      <c r="B5" s="1149"/>
      <c r="C5" s="1151" t="s">
        <v>732</v>
      </c>
      <c r="D5" s="1273"/>
      <c r="E5" s="325" t="s">
        <v>733</v>
      </c>
      <c r="F5" s="1231" t="s">
        <v>468</v>
      </c>
      <c r="G5" s="1232"/>
      <c r="H5" s="1232"/>
      <c r="I5" s="1232"/>
      <c r="J5" s="1232"/>
      <c r="K5" s="1233"/>
    </row>
    <row r="6" spans="2:11" ht="15" customHeight="1">
      <c r="B6" s="1149"/>
      <c r="C6" s="769" t="s">
        <v>1220</v>
      </c>
      <c r="D6" s="771"/>
      <c r="E6" s="491"/>
      <c r="F6" s="1327"/>
      <c r="G6" s="1198"/>
      <c r="H6" s="1198"/>
      <c r="I6" s="1198"/>
      <c r="J6" s="1198"/>
      <c r="K6" s="1199"/>
    </row>
    <row r="7" spans="2:11" ht="15" customHeight="1">
      <c r="B7" s="1149"/>
      <c r="C7" s="769" t="s">
        <v>934</v>
      </c>
      <c r="D7" s="771"/>
      <c r="E7" s="491"/>
      <c r="F7" s="1327"/>
      <c r="G7" s="1198"/>
      <c r="H7" s="1198"/>
      <c r="I7" s="1198"/>
      <c r="J7" s="1198"/>
      <c r="K7" s="1199"/>
    </row>
    <row r="8" spans="2:11" ht="15" customHeight="1">
      <c r="B8" s="1149"/>
      <c r="C8" s="769" t="s">
        <v>1366</v>
      </c>
      <c r="D8" s="771"/>
      <c r="E8" s="492"/>
      <c r="F8" s="1327"/>
      <c r="G8" s="1198"/>
      <c r="H8" s="1198"/>
      <c r="I8" s="1198"/>
      <c r="J8" s="1198"/>
      <c r="K8" s="1199"/>
    </row>
    <row r="9" spans="2:11" ht="15" customHeight="1">
      <c r="B9" s="1149"/>
      <c r="C9" s="769" t="s">
        <v>1367</v>
      </c>
      <c r="D9" s="771"/>
      <c r="E9" s="492"/>
      <c r="F9" s="1327"/>
      <c r="G9" s="1198"/>
      <c r="H9" s="1198"/>
      <c r="I9" s="1198"/>
      <c r="J9" s="1198"/>
      <c r="K9" s="1199"/>
    </row>
    <row r="10" spans="2:11" ht="15" customHeight="1">
      <c r="B10" s="1149"/>
      <c r="C10" s="769" t="s">
        <v>1368</v>
      </c>
      <c r="D10" s="771"/>
      <c r="E10" s="492"/>
      <c r="F10" s="1327"/>
      <c r="G10" s="1198"/>
      <c r="H10" s="1198"/>
      <c r="I10" s="1198"/>
      <c r="J10" s="1198"/>
      <c r="K10" s="1199"/>
    </row>
    <row r="11" spans="2:11" ht="15" customHeight="1">
      <c r="B11" s="1149"/>
      <c r="C11" s="769" t="s">
        <v>1369</v>
      </c>
      <c r="D11" s="771"/>
      <c r="E11" s="492"/>
      <c r="F11" s="1327"/>
      <c r="G11" s="1198"/>
      <c r="H11" s="1198"/>
      <c r="I11" s="1198"/>
      <c r="J11" s="1198"/>
      <c r="K11" s="1199"/>
    </row>
    <row r="12" spans="2:11" ht="15" customHeight="1">
      <c r="B12" s="1149"/>
      <c r="C12" s="769" t="s">
        <v>1370</v>
      </c>
      <c r="D12" s="771"/>
      <c r="E12" s="492"/>
      <c r="F12" s="1327"/>
      <c r="G12" s="1198"/>
      <c r="H12" s="1198"/>
      <c r="I12" s="1198"/>
      <c r="J12" s="1198"/>
      <c r="K12" s="1199"/>
    </row>
    <row r="13" spans="2:11" ht="15" customHeight="1">
      <c r="B13" s="1149"/>
      <c r="C13" s="769" t="s">
        <v>1371</v>
      </c>
      <c r="D13" s="771"/>
      <c r="E13" s="492"/>
      <c r="F13" s="1327"/>
      <c r="G13" s="1198"/>
      <c r="H13" s="1198"/>
      <c r="I13" s="1198"/>
      <c r="J13" s="1198"/>
      <c r="K13" s="1199"/>
    </row>
    <row r="14" spans="2:11" ht="15" customHeight="1">
      <c r="B14" s="1149"/>
      <c r="C14" s="769" t="s">
        <v>1372</v>
      </c>
      <c r="D14" s="771"/>
      <c r="E14" s="492"/>
      <c r="F14" s="1327"/>
      <c r="G14" s="1198"/>
      <c r="H14" s="1198"/>
      <c r="I14" s="1198"/>
      <c r="J14" s="1198"/>
      <c r="K14" s="1199"/>
    </row>
    <row r="15" spans="2:11" ht="15" customHeight="1">
      <c r="B15" s="1149"/>
      <c r="C15" s="769" t="s">
        <v>1373</v>
      </c>
      <c r="D15" s="771"/>
      <c r="E15" s="492"/>
      <c r="F15" s="1327"/>
      <c r="G15" s="1198"/>
      <c r="H15" s="1198"/>
      <c r="I15" s="1198"/>
      <c r="J15" s="1198"/>
      <c r="K15" s="1199"/>
    </row>
    <row r="16" spans="2:11" ht="15" customHeight="1">
      <c r="B16" s="1149"/>
      <c r="C16" s="769" t="s">
        <v>651</v>
      </c>
      <c r="D16" s="771"/>
      <c r="E16" s="492"/>
      <c r="F16" s="1327"/>
      <c r="G16" s="1198"/>
      <c r="H16" s="1198"/>
      <c r="I16" s="1198"/>
      <c r="J16" s="1198"/>
      <c r="K16" s="1199"/>
    </row>
    <row r="17" spans="2:11" ht="15" customHeight="1" thickBot="1">
      <c r="B17" s="316"/>
      <c r="C17" s="769" t="s">
        <v>1221</v>
      </c>
      <c r="D17" s="771"/>
      <c r="E17" s="493"/>
      <c r="F17" s="1301"/>
      <c r="G17" s="1302"/>
      <c r="H17" s="1302"/>
      <c r="I17" s="1302"/>
      <c r="J17" s="1302"/>
      <c r="K17" s="1303"/>
    </row>
    <row r="18" spans="2:11" ht="15" customHeight="1">
      <c r="B18" s="1148" t="s">
        <v>6</v>
      </c>
      <c r="C18" s="1321" t="s">
        <v>1158</v>
      </c>
      <c r="D18" s="1322"/>
      <c r="E18" s="1322"/>
      <c r="F18" s="1322"/>
      <c r="G18" s="1322"/>
      <c r="H18" s="1322"/>
      <c r="I18" s="1322"/>
      <c r="J18" s="1322"/>
      <c r="K18" s="1323"/>
    </row>
    <row r="19" spans="2:11" ht="30" customHeight="1">
      <c r="B19" s="1149"/>
      <c r="C19" s="1151" t="s">
        <v>734</v>
      </c>
      <c r="D19" s="1273"/>
      <c r="E19" s="325" t="s">
        <v>733</v>
      </c>
      <c r="F19" s="1231" t="s">
        <v>468</v>
      </c>
      <c r="G19" s="1232"/>
      <c r="H19" s="1232"/>
      <c r="I19" s="1232"/>
      <c r="J19" s="1232"/>
      <c r="K19" s="1233"/>
    </row>
    <row r="20" spans="2:11" ht="15" customHeight="1">
      <c r="B20" s="1149"/>
      <c r="C20" s="1287" t="s">
        <v>418</v>
      </c>
      <c r="D20" s="753"/>
      <c r="E20" s="491"/>
      <c r="F20" s="1327"/>
      <c r="G20" s="1198"/>
      <c r="H20" s="1198"/>
      <c r="I20" s="1198"/>
      <c r="J20" s="1198"/>
      <c r="K20" s="1199"/>
    </row>
    <row r="21" spans="2:11" ht="15" customHeight="1" thickBot="1">
      <c r="B21" s="1150"/>
      <c r="C21" s="1205" t="s">
        <v>417</v>
      </c>
      <c r="D21" s="1226"/>
      <c r="E21" s="494"/>
      <c r="F21" s="1186"/>
      <c r="G21" s="1187"/>
      <c r="H21" s="1187"/>
      <c r="I21" s="1187"/>
      <c r="J21" s="1187"/>
      <c r="K21" s="1188"/>
    </row>
    <row r="22" spans="2:11" ht="30" customHeight="1">
      <c r="B22" s="1148" t="s">
        <v>7</v>
      </c>
      <c r="C22" s="252">
        <v>1</v>
      </c>
      <c r="D22" s="856" t="s">
        <v>935</v>
      </c>
      <c r="E22" s="857"/>
      <c r="F22" s="857"/>
      <c r="G22" s="857"/>
      <c r="H22" s="857"/>
      <c r="I22" s="857"/>
      <c r="J22" s="1159"/>
      <c r="K22" s="495"/>
    </row>
    <row r="23" spans="2:11" ht="30" customHeight="1">
      <c r="B23" s="1149"/>
      <c r="C23" s="256">
        <v>2</v>
      </c>
      <c r="D23" s="853" t="s">
        <v>1156</v>
      </c>
      <c r="E23" s="854"/>
      <c r="F23" s="854"/>
      <c r="G23" s="854"/>
      <c r="H23" s="854"/>
      <c r="I23" s="854"/>
      <c r="J23" s="855"/>
      <c r="K23" s="496"/>
    </row>
    <row r="24" spans="2:11" ht="30" customHeight="1">
      <c r="B24" s="1149"/>
      <c r="C24" s="1299">
        <v>3</v>
      </c>
      <c r="D24" s="853" t="s">
        <v>1157</v>
      </c>
      <c r="E24" s="854"/>
      <c r="F24" s="854"/>
      <c r="G24" s="854"/>
      <c r="H24" s="854"/>
      <c r="I24" s="854"/>
      <c r="J24" s="855"/>
      <c r="K24" s="497"/>
    </row>
    <row r="25" spans="2:11" ht="30" customHeight="1">
      <c r="B25" s="1149"/>
      <c r="C25" s="1332"/>
      <c r="D25" s="1210" t="s">
        <v>936</v>
      </c>
      <c r="E25" s="1211"/>
      <c r="F25" s="1211"/>
      <c r="G25" s="1211"/>
      <c r="H25" s="1211"/>
      <c r="I25" s="1211"/>
      <c r="J25" s="1212"/>
      <c r="K25" s="497"/>
    </row>
    <row r="26" spans="2:11" ht="30" customHeight="1">
      <c r="B26" s="1149"/>
      <c r="C26" s="1332"/>
      <c r="D26" s="1329" t="s">
        <v>1159</v>
      </c>
      <c r="E26" s="1330"/>
      <c r="F26" s="1330"/>
      <c r="G26" s="1330"/>
      <c r="H26" s="1330"/>
      <c r="I26" s="1330"/>
      <c r="J26" s="1330"/>
      <c r="K26" s="1331"/>
    </row>
    <row r="27" spans="2:11" ht="30" customHeight="1">
      <c r="B27" s="1149"/>
      <c r="C27" s="1332"/>
      <c r="D27" s="257" t="s">
        <v>734</v>
      </c>
      <c r="E27" s="242" t="s">
        <v>450</v>
      </c>
      <c r="F27" s="1317" t="s">
        <v>735</v>
      </c>
      <c r="G27" s="1320"/>
      <c r="H27" s="1311" t="s">
        <v>736</v>
      </c>
      <c r="I27" s="1311"/>
      <c r="J27" s="1317" t="s">
        <v>737</v>
      </c>
      <c r="K27" s="1318"/>
    </row>
    <row r="28" spans="2:11" ht="30" customHeight="1">
      <c r="B28" s="1149"/>
      <c r="C28" s="1332"/>
      <c r="D28" s="179" t="s">
        <v>418</v>
      </c>
      <c r="E28" s="462"/>
      <c r="F28" s="1315"/>
      <c r="G28" s="1315"/>
      <c r="H28" s="1164"/>
      <c r="I28" s="1315"/>
      <c r="J28" s="1164"/>
      <c r="K28" s="1316"/>
    </row>
    <row r="29" spans="2:11" ht="30" customHeight="1" thickBot="1">
      <c r="B29" s="1150"/>
      <c r="C29" s="1333"/>
      <c r="D29" s="180" t="s">
        <v>417</v>
      </c>
      <c r="E29" s="498"/>
      <c r="F29" s="1200"/>
      <c r="G29" s="1201"/>
      <c r="H29" s="1200"/>
      <c r="I29" s="1328"/>
      <c r="J29" s="1200"/>
      <c r="K29" s="1319"/>
    </row>
    <row r="30" spans="2:11" ht="15" customHeight="1">
      <c r="B30" s="1148" t="s">
        <v>8</v>
      </c>
      <c r="C30" s="1321" t="s">
        <v>749</v>
      </c>
      <c r="D30" s="1322"/>
      <c r="E30" s="1322"/>
      <c r="F30" s="1322"/>
      <c r="G30" s="1322"/>
      <c r="H30" s="1322"/>
      <c r="I30" s="1322"/>
      <c r="J30" s="1322"/>
      <c r="K30" s="1323"/>
    </row>
    <row r="31" spans="2:11" ht="30" customHeight="1">
      <c r="B31" s="1149"/>
      <c r="C31" s="209">
        <v>1</v>
      </c>
      <c r="D31" s="1309"/>
      <c r="E31" s="1310"/>
      <c r="F31" s="320" t="s">
        <v>448</v>
      </c>
      <c r="G31" s="1301"/>
      <c r="H31" s="1302"/>
      <c r="I31" s="1302"/>
      <c r="J31" s="1302"/>
      <c r="K31" s="1303"/>
    </row>
    <row r="32" spans="2:11" ht="30" customHeight="1">
      <c r="B32" s="1149"/>
      <c r="C32" s="318">
        <v>2</v>
      </c>
      <c r="D32" s="1309"/>
      <c r="E32" s="1310"/>
      <c r="F32" s="208" t="s">
        <v>448</v>
      </c>
      <c r="G32" s="1301"/>
      <c r="H32" s="1302"/>
      <c r="I32" s="1302"/>
      <c r="J32" s="1302"/>
      <c r="K32" s="1303"/>
    </row>
    <row r="33" spans="2:11" ht="30" customHeight="1" thickBot="1">
      <c r="B33" s="1150"/>
      <c r="C33" s="328">
        <v>3</v>
      </c>
      <c r="D33" s="1324"/>
      <c r="E33" s="1325"/>
      <c r="F33" s="330" t="s">
        <v>448</v>
      </c>
      <c r="G33" s="1186"/>
      <c r="H33" s="1187"/>
      <c r="I33" s="1187"/>
      <c r="J33" s="1187"/>
      <c r="K33" s="1188"/>
    </row>
    <row r="34" spans="2:11" ht="27" customHeight="1">
      <c r="B34" s="1254" t="s">
        <v>48</v>
      </c>
      <c r="C34" s="1255"/>
      <c r="D34" s="1326"/>
      <c r="E34" s="1312"/>
      <c r="F34" s="1313"/>
      <c r="G34" s="1313"/>
      <c r="H34" s="1313"/>
      <c r="I34" s="1313"/>
      <c r="J34" s="1313"/>
      <c r="K34" s="1314"/>
    </row>
    <row r="35" spans="2:11" ht="12.75" customHeight="1">
      <c r="B35" s="1167" t="s">
        <v>4</v>
      </c>
      <c r="C35" s="1168"/>
      <c r="D35" s="1168"/>
      <c r="E35" s="1168"/>
      <c r="F35" s="1168"/>
      <c r="G35" s="1168"/>
      <c r="H35" s="1168"/>
      <c r="I35" s="1168"/>
      <c r="J35" s="1168"/>
      <c r="K35" s="1169"/>
    </row>
    <row r="36" spans="2:11" ht="12.75" customHeight="1" thickBot="1">
      <c r="B36" s="1170"/>
      <c r="C36" s="1171"/>
      <c r="D36" s="1171"/>
      <c r="E36" s="1171"/>
      <c r="F36" s="1171"/>
      <c r="G36" s="1171"/>
      <c r="H36" s="1171"/>
      <c r="I36" s="1171"/>
      <c r="J36" s="1171"/>
      <c r="K36" s="1172"/>
    </row>
  </sheetData>
  <sheetProtection password="C288" sheet="1"/>
  <mergeCells count="65">
    <mergeCell ref="F10:K10"/>
    <mergeCell ref="F11:K11"/>
    <mergeCell ref="F12:K12"/>
    <mergeCell ref="F13:K13"/>
    <mergeCell ref="F14:K14"/>
    <mergeCell ref="F15:K15"/>
    <mergeCell ref="C11:D11"/>
    <mergeCell ref="C12:D12"/>
    <mergeCell ref="C13:D13"/>
    <mergeCell ref="C14:D14"/>
    <mergeCell ref="C15:D15"/>
    <mergeCell ref="F16:K16"/>
    <mergeCell ref="D26:K26"/>
    <mergeCell ref="C24:C29"/>
    <mergeCell ref="C8:D8"/>
    <mergeCell ref="C9:D9"/>
    <mergeCell ref="F8:K8"/>
    <mergeCell ref="F9:K9"/>
    <mergeCell ref="D22:J22"/>
    <mergeCell ref="F21:K21"/>
    <mergeCell ref="C16:D16"/>
    <mergeCell ref="C10:D10"/>
    <mergeCell ref="C19:D19"/>
    <mergeCell ref="F19:K19"/>
    <mergeCell ref="D24:J24"/>
    <mergeCell ref="D25:J25"/>
    <mergeCell ref="C21:D21"/>
    <mergeCell ref="C17:D17"/>
    <mergeCell ref="F17:K17"/>
    <mergeCell ref="B22:B29"/>
    <mergeCell ref="B4:B16"/>
    <mergeCell ref="C4:K4"/>
    <mergeCell ref="C5:D5"/>
    <mergeCell ref="F5:K5"/>
    <mergeCell ref="D23:J23"/>
    <mergeCell ref="F20:K20"/>
    <mergeCell ref="B18:B21"/>
    <mergeCell ref="H29:I29"/>
    <mergeCell ref="C18:K18"/>
    <mergeCell ref="F6:K6"/>
    <mergeCell ref="C7:D7"/>
    <mergeCell ref="F7:K7"/>
    <mergeCell ref="C6:D6"/>
    <mergeCell ref="B2:D2"/>
    <mergeCell ref="E2:F2"/>
    <mergeCell ref="B35:K36"/>
    <mergeCell ref="B30:B33"/>
    <mergeCell ref="C30:K30"/>
    <mergeCell ref="D31:E31"/>
    <mergeCell ref="G31:K31"/>
    <mergeCell ref="C20:D20"/>
    <mergeCell ref="G32:K32"/>
    <mergeCell ref="D33:E33"/>
    <mergeCell ref="G33:K33"/>
    <mergeCell ref="B34:D34"/>
    <mergeCell ref="D32:E32"/>
    <mergeCell ref="H27:I27"/>
    <mergeCell ref="E34:K34"/>
    <mergeCell ref="F28:G28"/>
    <mergeCell ref="H28:I28"/>
    <mergeCell ref="J28:K28"/>
    <mergeCell ref="J27:K27"/>
    <mergeCell ref="J29:K29"/>
    <mergeCell ref="F27:G27"/>
    <mergeCell ref="F29:G29"/>
  </mergeCells>
  <dataValidations count="4">
    <dataValidation type="list" allowBlank="1" showInputMessage="1" showErrorMessage="1" sqref="D31:E33">
      <formula1>Bottleneck</formula1>
    </dataValidation>
    <dataValidation type="list" allowBlank="1" showInputMessage="1" showErrorMessage="1" errorTitle="Change" error="Select Increase, No Change, Decrease, or Not Applicable from the dropdown menu." sqref="E20:E21 E6:E17">
      <formula1>Change</formula1>
    </dataValidation>
    <dataValidation type="list" allowBlank="1" showInputMessage="1" showErrorMessage="1" sqref="K22:K25 E28:E29">
      <formula1>YesNoNA</formula1>
    </dataValidation>
    <dataValidation type="list" allowBlank="1" showInputMessage="1" showErrorMessage="1" sqref="F28:K29">
      <formula1>Country</formula1>
    </dataValidation>
  </dataValidations>
  <hyperlinks>
    <hyperlink ref="B2:C2" location="'5d'!A1" tooltip="Manufacturing Production &amp; Capacity" display="Previous Page"/>
    <hyperlink ref="K2" location="'6a'!A1" tooltip="Materials &amp; Equipment" display="Next Page"/>
  </hyperlinks>
  <pageMargins left="0.25" right="0.25" top="0.75" bottom="0.75" header="0.3" footer="0.3"/>
  <pageSetup scale="81" orientation="landscape" cellComments="atEnd" r:id="rId1"/>
  <headerFooter>
    <oddHeader>&amp;F</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5"/>
  <sheetViews>
    <sheetView showGridLines="0" showRowColHeaders="0" zoomScale="85" zoomScaleNormal="85" workbookViewId="0"/>
  </sheetViews>
  <sheetFormatPr defaultColWidth="8.85546875" defaultRowHeight="13.5" customHeight="1"/>
  <cols>
    <col min="1" max="1" width="8.5703125" style="45" customWidth="1"/>
    <col min="2" max="2" width="3.85546875" style="45" customWidth="1"/>
    <col min="3" max="3" width="10.42578125" style="45" customWidth="1"/>
    <col min="4" max="5" width="16.28515625" style="45" customWidth="1"/>
    <col min="6" max="6" width="14.42578125" style="45" customWidth="1"/>
    <col min="7" max="7" width="11.85546875" style="45" customWidth="1"/>
    <col min="8" max="8" width="12.5703125" style="45" customWidth="1"/>
    <col min="9" max="9" width="0.85546875" style="45" customWidth="1"/>
    <col min="10" max="10" width="3.28515625" style="45" customWidth="1"/>
    <col min="11" max="11" width="57.7109375" style="45" customWidth="1"/>
    <col min="12" max="14" width="12.140625" style="45" customWidth="1"/>
    <col min="15" max="16384" width="8.85546875" style="45"/>
  </cols>
  <sheetData>
    <row r="1" spans="2:14" ht="13.5" customHeight="1" thickBot="1"/>
    <row r="2" spans="2:14" ht="13.5" customHeight="1" thickBot="1">
      <c r="B2" s="655" t="s">
        <v>487</v>
      </c>
      <c r="C2" s="656"/>
      <c r="D2" s="143"/>
      <c r="E2" s="657" t="s">
        <v>1204</v>
      </c>
      <c r="F2" s="657"/>
      <c r="G2" s="657"/>
      <c r="H2" s="657"/>
      <c r="I2" s="657"/>
      <c r="J2" s="657"/>
      <c r="K2" s="657"/>
      <c r="L2" s="575"/>
      <c r="M2" s="183"/>
      <c r="N2" s="113" t="s">
        <v>486</v>
      </c>
    </row>
    <row r="3" spans="2:14" ht="13.5" customHeight="1" thickBot="1">
      <c r="B3" s="174" t="s">
        <v>765</v>
      </c>
      <c r="C3" s="175"/>
      <c r="D3" s="175"/>
      <c r="E3" s="175"/>
      <c r="F3" s="175"/>
      <c r="G3" s="175"/>
      <c r="H3" s="175"/>
      <c r="I3" s="175"/>
      <c r="J3" s="175"/>
      <c r="K3" s="175"/>
      <c r="L3" s="175"/>
      <c r="M3" s="175"/>
      <c r="N3" s="176"/>
    </row>
    <row r="4" spans="2:14" ht="30" customHeight="1">
      <c r="B4" s="1274" t="s">
        <v>5</v>
      </c>
      <c r="C4" s="856" t="s">
        <v>1319</v>
      </c>
      <c r="D4" s="857"/>
      <c r="E4" s="857"/>
      <c r="F4" s="857"/>
      <c r="G4" s="857"/>
      <c r="H4" s="857"/>
      <c r="I4" s="857"/>
      <c r="J4" s="857"/>
      <c r="K4" s="857"/>
      <c r="L4" s="857"/>
      <c r="M4" s="857"/>
      <c r="N4" s="858"/>
    </row>
    <row r="5" spans="2:14" ht="15" customHeight="1">
      <c r="B5" s="1275"/>
      <c r="C5" s="1356" t="s">
        <v>750</v>
      </c>
      <c r="D5" s="1357"/>
      <c r="E5" s="1358"/>
      <c r="F5" s="1364" t="s">
        <v>1160</v>
      </c>
      <c r="G5" s="1352" t="s">
        <v>751</v>
      </c>
      <c r="H5" s="1353"/>
      <c r="I5" s="357"/>
      <c r="J5" s="1354" t="s">
        <v>941</v>
      </c>
      <c r="K5" s="1156"/>
      <c r="L5" s="1156"/>
      <c r="M5" s="1156"/>
      <c r="N5" s="1355"/>
    </row>
    <row r="6" spans="2:14" ht="60" customHeight="1">
      <c r="B6" s="1275"/>
      <c r="C6" s="1359"/>
      <c r="D6" s="1360"/>
      <c r="E6" s="1353"/>
      <c r="F6" s="1365"/>
      <c r="G6" s="210" t="s">
        <v>752</v>
      </c>
      <c r="H6" s="173" t="s">
        <v>766</v>
      </c>
      <c r="I6" s="353"/>
      <c r="J6" s="1366" t="s">
        <v>1290</v>
      </c>
      <c r="K6" s="1367"/>
      <c r="L6" s="761" t="s">
        <v>1291</v>
      </c>
      <c r="M6" s="762"/>
      <c r="N6" s="763"/>
    </row>
    <row r="7" spans="2:14" ht="13.5" customHeight="1">
      <c r="B7" s="1275"/>
      <c r="C7" s="841" t="s">
        <v>937</v>
      </c>
      <c r="D7" s="842"/>
      <c r="E7" s="1368"/>
      <c r="F7" s="1340"/>
      <c r="G7" s="1342"/>
      <c r="H7" s="1344"/>
      <c r="I7" s="1372"/>
      <c r="J7" s="280">
        <v>1</v>
      </c>
      <c r="K7" s="630"/>
      <c r="L7" s="1361"/>
      <c r="M7" s="1362"/>
      <c r="N7" s="1363"/>
    </row>
    <row r="8" spans="2:14" ht="13.5" customHeight="1">
      <c r="B8" s="1275"/>
      <c r="C8" s="1369"/>
      <c r="D8" s="1370"/>
      <c r="E8" s="1371"/>
      <c r="F8" s="1346"/>
      <c r="G8" s="1347"/>
      <c r="H8" s="1348"/>
      <c r="I8" s="1373"/>
      <c r="J8" s="280">
        <v>2</v>
      </c>
      <c r="K8" s="630"/>
      <c r="L8" s="1361"/>
      <c r="M8" s="1362"/>
      <c r="N8" s="1363"/>
    </row>
    <row r="9" spans="2:14" ht="13.5" customHeight="1">
      <c r="B9" s="1275"/>
      <c r="C9" s="841" t="s">
        <v>938</v>
      </c>
      <c r="D9" s="842"/>
      <c r="E9" s="1368"/>
      <c r="F9" s="1340"/>
      <c r="G9" s="1342"/>
      <c r="H9" s="1344"/>
      <c r="I9" s="1372"/>
      <c r="J9" s="280">
        <v>1</v>
      </c>
      <c r="K9" s="630"/>
      <c r="L9" s="1361"/>
      <c r="M9" s="1362"/>
      <c r="N9" s="1363"/>
    </row>
    <row r="10" spans="2:14" ht="13.5" customHeight="1">
      <c r="B10" s="1275"/>
      <c r="C10" s="1369"/>
      <c r="D10" s="1370"/>
      <c r="E10" s="1371"/>
      <c r="F10" s="1346"/>
      <c r="G10" s="1347"/>
      <c r="H10" s="1348"/>
      <c r="I10" s="1373"/>
      <c r="J10" s="280">
        <v>2</v>
      </c>
      <c r="K10" s="630"/>
      <c r="L10" s="1361"/>
      <c r="M10" s="1362"/>
      <c r="N10" s="1363"/>
    </row>
    <row r="11" spans="2:14" ht="13.5" customHeight="1">
      <c r="B11" s="1275"/>
      <c r="C11" s="841" t="s">
        <v>939</v>
      </c>
      <c r="D11" s="842"/>
      <c r="E11" s="1368"/>
      <c r="F11" s="1340"/>
      <c r="G11" s="1342"/>
      <c r="H11" s="1344"/>
      <c r="I11" s="1372"/>
      <c r="J11" s="280">
        <v>1</v>
      </c>
      <c r="K11" s="630"/>
      <c r="L11" s="1361"/>
      <c r="M11" s="1362"/>
      <c r="N11" s="1363"/>
    </row>
    <row r="12" spans="2:14" ht="13.5" customHeight="1">
      <c r="B12" s="1275"/>
      <c r="C12" s="1369"/>
      <c r="D12" s="1370"/>
      <c r="E12" s="1371"/>
      <c r="F12" s="1346"/>
      <c r="G12" s="1347"/>
      <c r="H12" s="1348"/>
      <c r="I12" s="1373"/>
      <c r="J12" s="280">
        <v>2</v>
      </c>
      <c r="K12" s="630"/>
      <c r="L12" s="1361"/>
      <c r="M12" s="1362"/>
      <c r="N12" s="1363"/>
    </row>
    <row r="13" spans="2:14" ht="13.5" customHeight="1">
      <c r="B13" s="1275"/>
      <c r="C13" s="841" t="s">
        <v>753</v>
      </c>
      <c r="D13" s="842"/>
      <c r="E13" s="1368"/>
      <c r="F13" s="1340"/>
      <c r="G13" s="1342"/>
      <c r="H13" s="1344"/>
      <c r="I13" s="1372"/>
      <c r="J13" s="280">
        <v>1</v>
      </c>
      <c r="K13" s="630"/>
      <c r="L13" s="1361"/>
      <c r="M13" s="1362"/>
      <c r="N13" s="1363"/>
    </row>
    <row r="14" spans="2:14" ht="13.5" customHeight="1">
      <c r="B14" s="1275"/>
      <c r="C14" s="1369"/>
      <c r="D14" s="1370"/>
      <c r="E14" s="1371"/>
      <c r="F14" s="1346"/>
      <c r="G14" s="1347"/>
      <c r="H14" s="1348"/>
      <c r="I14" s="1373"/>
      <c r="J14" s="280">
        <v>2</v>
      </c>
      <c r="K14" s="630"/>
      <c r="L14" s="1361"/>
      <c r="M14" s="1362"/>
      <c r="N14" s="1363"/>
    </row>
    <row r="15" spans="2:14" ht="13.5" customHeight="1">
      <c r="B15" s="1275"/>
      <c r="C15" s="841" t="s">
        <v>754</v>
      </c>
      <c r="D15" s="842"/>
      <c r="E15" s="1368"/>
      <c r="F15" s="1340"/>
      <c r="G15" s="1342"/>
      <c r="H15" s="1344"/>
      <c r="I15" s="1372"/>
      <c r="J15" s="280">
        <v>1</v>
      </c>
      <c r="K15" s="630"/>
      <c r="L15" s="1361"/>
      <c r="M15" s="1362"/>
      <c r="N15" s="1363"/>
    </row>
    <row r="16" spans="2:14" ht="13.5" customHeight="1">
      <c r="B16" s="1275"/>
      <c r="C16" s="1369"/>
      <c r="D16" s="1370"/>
      <c r="E16" s="1371"/>
      <c r="F16" s="1346"/>
      <c r="G16" s="1347"/>
      <c r="H16" s="1348"/>
      <c r="I16" s="1373"/>
      <c r="J16" s="280">
        <v>2</v>
      </c>
      <c r="K16" s="630"/>
      <c r="L16" s="1361"/>
      <c r="M16" s="1362"/>
      <c r="N16" s="1363"/>
    </row>
    <row r="17" spans="2:14" ht="13.5" customHeight="1">
      <c r="B17" s="1275"/>
      <c r="C17" s="841" t="s">
        <v>755</v>
      </c>
      <c r="D17" s="842"/>
      <c r="E17" s="1368"/>
      <c r="F17" s="1340"/>
      <c r="G17" s="1342"/>
      <c r="H17" s="1344"/>
      <c r="I17" s="1372"/>
      <c r="J17" s="280">
        <v>1</v>
      </c>
      <c r="K17" s="630"/>
      <c r="L17" s="1361"/>
      <c r="M17" s="1362"/>
      <c r="N17" s="1363"/>
    </row>
    <row r="18" spans="2:14" ht="13.5" customHeight="1">
      <c r="B18" s="1275"/>
      <c r="C18" s="1369"/>
      <c r="D18" s="1370"/>
      <c r="E18" s="1371"/>
      <c r="F18" s="1346"/>
      <c r="G18" s="1347"/>
      <c r="H18" s="1348"/>
      <c r="I18" s="1373"/>
      <c r="J18" s="280">
        <v>2</v>
      </c>
      <c r="K18" s="630"/>
      <c r="L18" s="1361"/>
      <c r="M18" s="1362"/>
      <c r="N18" s="1363"/>
    </row>
    <row r="19" spans="2:14" ht="13.5" customHeight="1">
      <c r="B19" s="1275"/>
      <c r="C19" s="841" t="s">
        <v>756</v>
      </c>
      <c r="D19" s="842"/>
      <c r="E19" s="1368"/>
      <c r="F19" s="1340"/>
      <c r="G19" s="1342"/>
      <c r="H19" s="1344"/>
      <c r="I19" s="1372"/>
      <c r="J19" s="280">
        <v>1</v>
      </c>
      <c r="K19" s="630"/>
      <c r="L19" s="1361"/>
      <c r="M19" s="1362"/>
      <c r="N19" s="1363"/>
    </row>
    <row r="20" spans="2:14" ht="13.5" customHeight="1">
      <c r="B20" s="1275"/>
      <c r="C20" s="1369"/>
      <c r="D20" s="1370"/>
      <c r="E20" s="1371"/>
      <c r="F20" s="1346"/>
      <c r="G20" s="1347"/>
      <c r="H20" s="1348"/>
      <c r="I20" s="1373"/>
      <c r="J20" s="280">
        <v>2</v>
      </c>
      <c r="K20" s="630"/>
      <c r="L20" s="1361"/>
      <c r="M20" s="1362"/>
      <c r="N20" s="1363"/>
    </row>
    <row r="21" spans="2:14" ht="13.5" customHeight="1">
      <c r="B21" s="1275"/>
      <c r="C21" s="841" t="s">
        <v>757</v>
      </c>
      <c r="D21" s="842"/>
      <c r="E21" s="1368"/>
      <c r="F21" s="1340"/>
      <c r="G21" s="1342"/>
      <c r="H21" s="1344"/>
      <c r="I21" s="1372"/>
      <c r="J21" s="280">
        <v>1</v>
      </c>
      <c r="K21" s="630"/>
      <c r="L21" s="1361"/>
      <c r="M21" s="1362"/>
      <c r="N21" s="1363"/>
    </row>
    <row r="22" spans="2:14" ht="13.5" customHeight="1">
      <c r="B22" s="1275"/>
      <c r="C22" s="1369"/>
      <c r="D22" s="1370"/>
      <c r="E22" s="1371"/>
      <c r="F22" s="1346"/>
      <c r="G22" s="1347"/>
      <c r="H22" s="1348"/>
      <c r="I22" s="1373"/>
      <c r="J22" s="280">
        <v>2</v>
      </c>
      <c r="K22" s="630"/>
      <c r="L22" s="1361"/>
      <c r="M22" s="1362"/>
      <c r="N22" s="1363"/>
    </row>
    <row r="23" spans="2:14" ht="13.5" customHeight="1">
      <c r="B23" s="1275"/>
      <c r="C23" s="841" t="s">
        <v>758</v>
      </c>
      <c r="D23" s="842"/>
      <c r="E23" s="1368"/>
      <c r="F23" s="1340"/>
      <c r="G23" s="1342"/>
      <c r="H23" s="1344"/>
      <c r="I23" s="1372"/>
      <c r="J23" s="280">
        <v>1</v>
      </c>
      <c r="K23" s="630"/>
      <c r="L23" s="1361"/>
      <c r="M23" s="1362"/>
      <c r="N23" s="1363"/>
    </row>
    <row r="24" spans="2:14" ht="13.5" customHeight="1">
      <c r="B24" s="1275"/>
      <c r="C24" s="1369"/>
      <c r="D24" s="1370"/>
      <c r="E24" s="1371"/>
      <c r="F24" s="1346"/>
      <c r="G24" s="1347"/>
      <c r="H24" s="1348"/>
      <c r="I24" s="1373"/>
      <c r="J24" s="280">
        <v>2</v>
      </c>
      <c r="K24" s="630"/>
      <c r="L24" s="1361"/>
      <c r="M24" s="1362"/>
      <c r="N24" s="1363"/>
    </row>
    <row r="25" spans="2:14" ht="13.5" customHeight="1">
      <c r="B25" s="1275"/>
      <c r="C25" s="841" t="s">
        <v>759</v>
      </c>
      <c r="D25" s="842"/>
      <c r="E25" s="1368"/>
      <c r="F25" s="1340"/>
      <c r="G25" s="1342"/>
      <c r="H25" s="1344"/>
      <c r="I25" s="1372"/>
      <c r="J25" s="280">
        <v>1</v>
      </c>
      <c r="K25" s="630"/>
      <c r="L25" s="1361"/>
      <c r="M25" s="1362"/>
      <c r="N25" s="1363"/>
    </row>
    <row r="26" spans="2:14" ht="13.5" customHeight="1">
      <c r="B26" s="1275"/>
      <c r="C26" s="1369"/>
      <c r="D26" s="1370"/>
      <c r="E26" s="1371"/>
      <c r="F26" s="1346"/>
      <c r="G26" s="1347"/>
      <c r="H26" s="1348"/>
      <c r="I26" s="1373"/>
      <c r="J26" s="280">
        <v>2</v>
      </c>
      <c r="K26" s="630"/>
      <c r="L26" s="1361"/>
      <c r="M26" s="1362"/>
      <c r="N26" s="1363"/>
    </row>
    <row r="27" spans="2:14" ht="13.5" customHeight="1">
      <c r="B27" s="1275"/>
      <c r="C27" s="841" t="s">
        <v>760</v>
      </c>
      <c r="D27" s="842"/>
      <c r="E27" s="1368"/>
      <c r="F27" s="1340"/>
      <c r="G27" s="1342"/>
      <c r="H27" s="1344"/>
      <c r="I27" s="1372"/>
      <c r="J27" s="280">
        <v>1</v>
      </c>
      <c r="K27" s="630"/>
      <c r="L27" s="1361"/>
      <c r="M27" s="1362"/>
      <c r="N27" s="1363"/>
    </row>
    <row r="28" spans="2:14" ht="13.5" customHeight="1">
      <c r="B28" s="1275"/>
      <c r="C28" s="1369"/>
      <c r="D28" s="1370"/>
      <c r="E28" s="1371"/>
      <c r="F28" s="1346"/>
      <c r="G28" s="1347"/>
      <c r="H28" s="1348"/>
      <c r="I28" s="1373"/>
      <c r="J28" s="280">
        <v>2</v>
      </c>
      <c r="K28" s="630"/>
      <c r="L28" s="1361"/>
      <c r="M28" s="1362"/>
      <c r="N28" s="1363"/>
    </row>
    <row r="29" spans="2:14" ht="13.5" customHeight="1">
      <c r="B29" s="1275"/>
      <c r="C29" s="841" t="s">
        <v>761</v>
      </c>
      <c r="D29" s="842"/>
      <c r="E29" s="1368"/>
      <c r="F29" s="1340"/>
      <c r="G29" s="1342"/>
      <c r="H29" s="1344"/>
      <c r="I29" s="1372"/>
      <c r="J29" s="280">
        <v>1</v>
      </c>
      <c r="K29" s="630"/>
      <c r="L29" s="1361"/>
      <c r="M29" s="1362"/>
      <c r="N29" s="1363"/>
    </row>
    <row r="30" spans="2:14" ht="13.5" customHeight="1">
      <c r="B30" s="1275"/>
      <c r="C30" s="1369"/>
      <c r="D30" s="1370"/>
      <c r="E30" s="1371"/>
      <c r="F30" s="1346"/>
      <c r="G30" s="1347"/>
      <c r="H30" s="1348"/>
      <c r="I30" s="1373"/>
      <c r="J30" s="280">
        <v>2</v>
      </c>
      <c r="K30" s="630"/>
      <c r="L30" s="1361"/>
      <c r="M30" s="1362"/>
      <c r="N30" s="1363"/>
    </row>
    <row r="31" spans="2:14" ht="13.5" customHeight="1">
      <c r="B31" s="1275"/>
      <c r="C31" s="841" t="s">
        <v>1248</v>
      </c>
      <c r="D31" s="842"/>
      <c r="E31" s="1368"/>
      <c r="F31" s="1340"/>
      <c r="G31" s="1342"/>
      <c r="H31" s="1344"/>
      <c r="I31" s="1372"/>
      <c r="J31" s="280">
        <v>1</v>
      </c>
      <c r="K31" s="630"/>
      <c r="L31" s="1361"/>
      <c r="M31" s="1362"/>
      <c r="N31" s="1363"/>
    </row>
    <row r="32" spans="2:14" ht="13.5" customHeight="1">
      <c r="B32" s="1275"/>
      <c r="C32" s="1369"/>
      <c r="D32" s="1370"/>
      <c r="E32" s="1371"/>
      <c r="F32" s="1346"/>
      <c r="G32" s="1347"/>
      <c r="H32" s="1348"/>
      <c r="I32" s="1373"/>
      <c r="J32" s="280">
        <v>2</v>
      </c>
      <c r="K32" s="630"/>
      <c r="L32" s="1361"/>
      <c r="M32" s="1362"/>
      <c r="N32" s="1363"/>
    </row>
    <row r="33" spans="2:14" ht="13.5" customHeight="1">
      <c r="B33" s="1275"/>
      <c r="C33" s="841" t="s">
        <v>762</v>
      </c>
      <c r="D33" s="842"/>
      <c r="E33" s="1368"/>
      <c r="F33" s="1340"/>
      <c r="G33" s="1342"/>
      <c r="H33" s="1344"/>
      <c r="I33" s="1372"/>
      <c r="J33" s="280">
        <v>1</v>
      </c>
      <c r="K33" s="630"/>
      <c r="L33" s="1361"/>
      <c r="M33" s="1362"/>
      <c r="N33" s="1363"/>
    </row>
    <row r="34" spans="2:14" ht="13.5" customHeight="1">
      <c r="B34" s="1275"/>
      <c r="C34" s="1369"/>
      <c r="D34" s="1370"/>
      <c r="E34" s="1371"/>
      <c r="F34" s="1346"/>
      <c r="G34" s="1347"/>
      <c r="H34" s="1348"/>
      <c r="I34" s="1373"/>
      <c r="J34" s="280">
        <v>2</v>
      </c>
      <c r="K34" s="630"/>
      <c r="L34" s="1361"/>
      <c r="M34" s="1362"/>
      <c r="N34" s="1363"/>
    </row>
    <row r="35" spans="2:14" ht="13.5" customHeight="1">
      <c r="B35" s="1275"/>
      <c r="C35" s="841" t="s">
        <v>940</v>
      </c>
      <c r="D35" s="842"/>
      <c r="E35" s="1368"/>
      <c r="F35" s="1340"/>
      <c r="G35" s="1342"/>
      <c r="H35" s="1344"/>
      <c r="I35" s="1372"/>
      <c r="J35" s="280">
        <v>1</v>
      </c>
      <c r="K35" s="630"/>
      <c r="L35" s="1361"/>
      <c r="M35" s="1362"/>
      <c r="N35" s="1363"/>
    </row>
    <row r="36" spans="2:14" ht="13.5" customHeight="1">
      <c r="B36" s="1275"/>
      <c r="C36" s="1369"/>
      <c r="D36" s="1370"/>
      <c r="E36" s="1371"/>
      <c r="F36" s="1346"/>
      <c r="G36" s="1347"/>
      <c r="H36" s="1348"/>
      <c r="I36" s="1373"/>
      <c r="J36" s="280">
        <v>2</v>
      </c>
      <c r="K36" s="630"/>
      <c r="L36" s="1361"/>
      <c r="M36" s="1362"/>
      <c r="N36" s="1363"/>
    </row>
    <row r="37" spans="2:14" ht="13.5" customHeight="1">
      <c r="B37" s="1275"/>
      <c r="C37" s="841" t="s">
        <v>763</v>
      </c>
      <c r="D37" s="842"/>
      <c r="E37" s="1368"/>
      <c r="F37" s="1340"/>
      <c r="G37" s="1342"/>
      <c r="H37" s="1344"/>
      <c r="I37" s="1372"/>
      <c r="J37" s="280">
        <v>1</v>
      </c>
      <c r="K37" s="630"/>
      <c r="L37" s="1361"/>
      <c r="M37" s="1362"/>
      <c r="N37" s="1363"/>
    </row>
    <row r="38" spans="2:14" ht="13.5" customHeight="1">
      <c r="B38" s="1275"/>
      <c r="C38" s="1369"/>
      <c r="D38" s="1370"/>
      <c r="E38" s="1371"/>
      <c r="F38" s="1346"/>
      <c r="G38" s="1347"/>
      <c r="H38" s="1348"/>
      <c r="I38" s="1373"/>
      <c r="J38" s="280">
        <v>2</v>
      </c>
      <c r="K38" s="630"/>
      <c r="L38" s="1361"/>
      <c r="M38" s="1362"/>
      <c r="N38" s="1363"/>
    </row>
    <row r="39" spans="2:14" ht="13.5" customHeight="1">
      <c r="B39" s="1275"/>
      <c r="C39" s="841" t="s">
        <v>764</v>
      </c>
      <c r="D39" s="842"/>
      <c r="E39" s="1368"/>
      <c r="F39" s="1340"/>
      <c r="G39" s="1342"/>
      <c r="H39" s="1344"/>
      <c r="I39" s="1372"/>
      <c r="J39" s="280">
        <v>1</v>
      </c>
      <c r="K39" s="630"/>
      <c r="L39" s="1361"/>
      <c r="M39" s="1362"/>
      <c r="N39" s="1363"/>
    </row>
    <row r="40" spans="2:14" ht="13.5" customHeight="1">
      <c r="B40" s="1275"/>
      <c r="C40" s="1369"/>
      <c r="D40" s="1370"/>
      <c r="E40" s="1371"/>
      <c r="F40" s="1346"/>
      <c r="G40" s="1347"/>
      <c r="H40" s="1348"/>
      <c r="I40" s="1373"/>
      <c r="J40" s="280">
        <v>2</v>
      </c>
      <c r="K40" s="630"/>
      <c r="L40" s="1361"/>
      <c r="M40" s="1362"/>
      <c r="N40" s="1363"/>
    </row>
    <row r="41" spans="2:14" ht="15" customHeight="1">
      <c r="B41" s="1275"/>
      <c r="C41" s="1334" t="s">
        <v>107</v>
      </c>
      <c r="D41" s="1336" t="s">
        <v>405</v>
      </c>
      <c r="E41" s="1337"/>
      <c r="F41" s="1340"/>
      <c r="G41" s="1342"/>
      <c r="H41" s="1344"/>
      <c r="I41" s="1372"/>
      <c r="J41" s="280">
        <v>1</v>
      </c>
      <c r="K41" s="630"/>
      <c r="L41" s="1361"/>
      <c r="M41" s="1362"/>
      <c r="N41" s="1363"/>
    </row>
    <row r="42" spans="2:14" ht="15" customHeight="1" thickBot="1">
      <c r="B42" s="1280"/>
      <c r="C42" s="1335"/>
      <c r="D42" s="1338"/>
      <c r="E42" s="1339"/>
      <c r="F42" s="1341"/>
      <c r="G42" s="1343"/>
      <c r="H42" s="1345"/>
      <c r="I42" s="1374"/>
      <c r="J42" s="594">
        <v>2</v>
      </c>
      <c r="K42" s="629"/>
      <c r="L42" s="1361"/>
      <c r="M42" s="1362"/>
      <c r="N42" s="1363"/>
    </row>
    <row r="43" spans="2:14" ht="27" customHeight="1">
      <c r="B43" s="1173" t="s">
        <v>48</v>
      </c>
      <c r="C43" s="1174"/>
      <c r="D43" s="1290"/>
      <c r="E43" s="1349"/>
      <c r="F43" s="1350"/>
      <c r="G43" s="1350"/>
      <c r="H43" s="1350"/>
      <c r="I43" s="1350"/>
      <c r="J43" s="1350"/>
      <c r="K43" s="1350"/>
      <c r="L43" s="1350"/>
      <c r="M43" s="1350"/>
      <c r="N43" s="1351"/>
    </row>
    <row r="44" spans="2:14" ht="12.75" customHeight="1">
      <c r="B44" s="1167" t="s">
        <v>4</v>
      </c>
      <c r="C44" s="1168"/>
      <c r="D44" s="1168"/>
      <c r="E44" s="1168"/>
      <c r="F44" s="1168"/>
      <c r="G44" s="1168"/>
      <c r="H44" s="1168"/>
      <c r="I44" s="1168"/>
      <c r="J44" s="1168"/>
      <c r="K44" s="1168"/>
      <c r="L44" s="1168"/>
      <c r="M44" s="1168"/>
      <c r="N44" s="1169"/>
    </row>
    <row r="45" spans="2:14" ht="12.75" customHeight="1" thickBot="1">
      <c r="B45" s="1170"/>
      <c r="C45" s="1171"/>
      <c r="D45" s="1171"/>
      <c r="E45" s="1171"/>
      <c r="F45" s="1171"/>
      <c r="G45" s="1171"/>
      <c r="H45" s="1171"/>
      <c r="I45" s="1171"/>
      <c r="J45" s="1171"/>
      <c r="K45" s="1171"/>
      <c r="L45" s="1171"/>
      <c r="M45" s="1171"/>
      <c r="N45" s="1172"/>
    </row>
  </sheetData>
  <sheetProtection password="C288" sheet="1"/>
  <mergeCells count="140">
    <mergeCell ref="L32:N32"/>
    <mergeCell ref="L34:N34"/>
    <mergeCell ref="L36:N36"/>
    <mergeCell ref="L38:N38"/>
    <mergeCell ref="L40:N40"/>
    <mergeCell ref="L20:N20"/>
    <mergeCell ref="L22:N22"/>
    <mergeCell ref="L24:N24"/>
    <mergeCell ref="L26:N26"/>
    <mergeCell ref="L28:N28"/>
    <mergeCell ref="L30:N30"/>
    <mergeCell ref="L8:N8"/>
    <mergeCell ref="L10:N10"/>
    <mergeCell ref="L12:N12"/>
    <mergeCell ref="L14:N14"/>
    <mergeCell ref="L16:N16"/>
    <mergeCell ref="L18:N18"/>
    <mergeCell ref="L11:N11"/>
    <mergeCell ref="L13:N13"/>
    <mergeCell ref="I41:I42"/>
    <mergeCell ref="I29:I30"/>
    <mergeCell ref="I31:I32"/>
    <mergeCell ref="I33:I34"/>
    <mergeCell ref="I35:I36"/>
    <mergeCell ref="I37:I38"/>
    <mergeCell ref="I39:I40"/>
    <mergeCell ref="I17:I18"/>
    <mergeCell ref="I19:I20"/>
    <mergeCell ref="I21:I22"/>
    <mergeCell ref="I23:I24"/>
    <mergeCell ref="I25:I26"/>
    <mergeCell ref="I27:I28"/>
    <mergeCell ref="C39:E40"/>
    <mergeCell ref="F39:F40"/>
    <mergeCell ref="G39:G40"/>
    <mergeCell ref="H39:H40"/>
    <mergeCell ref="L39:N39"/>
    <mergeCell ref="I7:I8"/>
    <mergeCell ref="I9:I10"/>
    <mergeCell ref="I11:I12"/>
    <mergeCell ref="I13:I14"/>
    <mergeCell ref="I15:I16"/>
    <mergeCell ref="C35:E36"/>
    <mergeCell ref="F35:F36"/>
    <mergeCell ref="G35:G36"/>
    <mergeCell ref="H35:H36"/>
    <mergeCell ref="L35:N35"/>
    <mergeCell ref="C37:E38"/>
    <mergeCell ref="F37:F38"/>
    <mergeCell ref="G37:G38"/>
    <mergeCell ref="H37:H38"/>
    <mergeCell ref="L37:N37"/>
    <mergeCell ref="C31:E32"/>
    <mergeCell ref="F31:F32"/>
    <mergeCell ref="G31:G32"/>
    <mergeCell ref="H31:H32"/>
    <mergeCell ref="L31:N31"/>
    <mergeCell ref="C33:E34"/>
    <mergeCell ref="F33:F34"/>
    <mergeCell ref="G33:G34"/>
    <mergeCell ref="H33:H34"/>
    <mergeCell ref="L33:N33"/>
    <mergeCell ref="C27:E28"/>
    <mergeCell ref="F27:F28"/>
    <mergeCell ref="G27:G28"/>
    <mergeCell ref="H27:H28"/>
    <mergeCell ref="L27:N27"/>
    <mergeCell ref="C29:E30"/>
    <mergeCell ref="F29:F30"/>
    <mergeCell ref="G29:G30"/>
    <mergeCell ref="H29:H30"/>
    <mergeCell ref="L29:N29"/>
    <mergeCell ref="C23:E24"/>
    <mergeCell ref="F23:F24"/>
    <mergeCell ref="G23:G24"/>
    <mergeCell ref="H23:H24"/>
    <mergeCell ref="L23:N23"/>
    <mergeCell ref="C25:E26"/>
    <mergeCell ref="F25:F26"/>
    <mergeCell ref="G25:G26"/>
    <mergeCell ref="H25:H26"/>
    <mergeCell ref="L25:N25"/>
    <mergeCell ref="C19:E20"/>
    <mergeCell ref="F19:F20"/>
    <mergeCell ref="G19:G20"/>
    <mergeCell ref="H19:H20"/>
    <mergeCell ref="L19:N19"/>
    <mergeCell ref="C21:E22"/>
    <mergeCell ref="F21:F22"/>
    <mergeCell ref="G21:G22"/>
    <mergeCell ref="H21:H22"/>
    <mergeCell ref="L21:N21"/>
    <mergeCell ref="C15:E16"/>
    <mergeCell ref="F15:F16"/>
    <mergeCell ref="G15:G16"/>
    <mergeCell ref="H15:H16"/>
    <mergeCell ref="L15:N15"/>
    <mergeCell ref="C17:E18"/>
    <mergeCell ref="F17:F18"/>
    <mergeCell ref="G17:G18"/>
    <mergeCell ref="H17:H18"/>
    <mergeCell ref="L17:N17"/>
    <mergeCell ref="C9:E10"/>
    <mergeCell ref="F9:F10"/>
    <mergeCell ref="G9:G10"/>
    <mergeCell ref="H9:H10"/>
    <mergeCell ref="C13:E14"/>
    <mergeCell ref="F13:F14"/>
    <mergeCell ref="G13:G14"/>
    <mergeCell ref="H13:H14"/>
    <mergeCell ref="J6:K6"/>
    <mergeCell ref="L41:N41"/>
    <mergeCell ref="L42:N42"/>
    <mergeCell ref="L6:N6"/>
    <mergeCell ref="L7:N7"/>
    <mergeCell ref="C7:E8"/>
    <mergeCell ref="C11:E12"/>
    <mergeCell ref="F11:F12"/>
    <mergeCell ref="G11:G12"/>
    <mergeCell ref="H11:H12"/>
    <mergeCell ref="B43:D43"/>
    <mergeCell ref="E43:N43"/>
    <mergeCell ref="B44:N45"/>
    <mergeCell ref="C4:N4"/>
    <mergeCell ref="G5:H5"/>
    <mergeCell ref="J5:N5"/>
    <mergeCell ref="C5:E6"/>
    <mergeCell ref="L9:N9"/>
    <mergeCell ref="B4:B42"/>
    <mergeCell ref="F5:F6"/>
    <mergeCell ref="E2:K2"/>
    <mergeCell ref="C41:C42"/>
    <mergeCell ref="D41:E42"/>
    <mergeCell ref="F41:F42"/>
    <mergeCell ref="G41:G42"/>
    <mergeCell ref="H41:H42"/>
    <mergeCell ref="B2:C2"/>
    <mergeCell ref="F7:F8"/>
    <mergeCell ref="G7:G8"/>
    <mergeCell ref="H7:H8"/>
  </mergeCells>
  <dataValidations count="3">
    <dataValidation type="whole" allowBlank="1" showInputMessage="1" showErrorMessage="1" errorTitle="Number" error="Enter a whole number." sqref="F7 F11 F9 F15 F13 F19 F17 F23 F21 F27 F25 F31 F29 F35 F33 F39 F37 F41">
      <formula1>0</formula1>
      <formula2>5000000</formula2>
    </dataValidation>
    <dataValidation type="list" allowBlank="1" showInputMessage="1" showErrorMessage="1" sqref="G7:H7 G11:H11 G9:H9 G15:H15 G13:H13 G19:H19 G17:H17 G23:H23 G21:H21 G27:H27 G25:H25 G31:H31 G29:H29 G35:H35 G33:H33 G39:H39 G37:H37 G41:H41">
      <formula1>YesNoNA</formula1>
    </dataValidation>
    <dataValidation type="list" allowBlank="1" showInputMessage="1" showErrorMessage="1" sqref="L7:N42">
      <formula1>Country</formula1>
    </dataValidation>
  </dataValidations>
  <hyperlinks>
    <hyperlink ref="B2:C2" location="'5e'!A1" tooltip="Manufacturing Production &amp; Capacity (continued)" display="Previous Page"/>
    <hyperlink ref="J2:L2" location="'Table of Contents'!A1" tooltip="Table of Contents" display="Table of Contents"/>
    <hyperlink ref="N2" location="'6b'!A1" tooltip="Materials &amp; Equipment (continued)" display="Next Page"/>
  </hyperlinks>
  <pageMargins left="0.25" right="0.25" top="0.75" bottom="0.75" header="0.3" footer="0.3"/>
  <pageSetup scale="73" orientation="landscape" cellComments="atEnd"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showGridLines="0" showRowColHeaders="0" zoomScaleNormal="100" workbookViewId="0"/>
  </sheetViews>
  <sheetFormatPr defaultRowHeight="12.75"/>
  <cols>
    <col min="1" max="1" width="8.5703125" style="61" customWidth="1"/>
    <col min="2" max="2" width="5.7109375" style="61" customWidth="1"/>
    <col min="3" max="6" width="12.42578125" style="61" customWidth="1"/>
    <col min="7" max="9" width="13" style="61" customWidth="1"/>
    <col min="10" max="16384" width="9.140625" style="61"/>
  </cols>
  <sheetData>
    <row r="1" spans="2:9" ht="13.5" customHeight="1" thickBot="1"/>
    <row r="2" spans="2:9" ht="13.5" customHeight="1" thickBot="1">
      <c r="B2" s="655" t="s">
        <v>487</v>
      </c>
      <c r="C2" s="656"/>
      <c r="D2" s="15"/>
      <c r="E2" s="657" t="s">
        <v>1204</v>
      </c>
      <c r="F2" s="657"/>
      <c r="G2" s="657"/>
      <c r="H2" s="112"/>
      <c r="I2" s="113" t="s">
        <v>486</v>
      </c>
    </row>
    <row r="3" spans="2:9" ht="13.5" customHeight="1" thickBot="1">
      <c r="B3" s="667" t="s">
        <v>121</v>
      </c>
      <c r="C3" s="668"/>
      <c r="D3" s="668"/>
      <c r="E3" s="668"/>
      <c r="F3" s="668"/>
      <c r="G3" s="668"/>
      <c r="H3" s="668"/>
      <c r="I3" s="669"/>
    </row>
    <row r="4" spans="2:9" ht="15" customHeight="1">
      <c r="B4" s="121" t="s">
        <v>113</v>
      </c>
      <c r="C4" s="670" t="s">
        <v>1112</v>
      </c>
      <c r="D4" s="670"/>
      <c r="E4" s="670"/>
      <c r="F4" s="670"/>
      <c r="G4" s="670"/>
      <c r="H4" s="670"/>
      <c r="I4" s="671"/>
    </row>
    <row r="5" spans="2:9" ht="15" customHeight="1">
      <c r="B5" s="122" t="s">
        <v>122</v>
      </c>
      <c r="C5" s="663" t="s">
        <v>1113</v>
      </c>
      <c r="D5" s="663"/>
      <c r="E5" s="663"/>
      <c r="F5" s="663"/>
      <c r="G5" s="663"/>
      <c r="H5" s="663"/>
      <c r="I5" s="664"/>
    </row>
    <row r="6" spans="2:9" ht="15" customHeight="1">
      <c r="B6" s="122" t="s">
        <v>123</v>
      </c>
      <c r="C6" s="663" t="s">
        <v>1098</v>
      </c>
      <c r="D6" s="663"/>
      <c r="E6" s="663"/>
      <c r="F6" s="663"/>
      <c r="G6" s="663"/>
      <c r="H6" s="663"/>
      <c r="I6" s="664"/>
    </row>
    <row r="7" spans="2:9" ht="15" customHeight="1">
      <c r="B7" s="122">
        <v>1</v>
      </c>
      <c r="C7" s="663" t="s">
        <v>1097</v>
      </c>
      <c r="D7" s="663"/>
      <c r="E7" s="663"/>
      <c r="F7" s="663"/>
      <c r="G7" s="663"/>
      <c r="H7" s="663"/>
      <c r="I7" s="664"/>
    </row>
    <row r="8" spans="2:9" ht="15" customHeight="1">
      <c r="B8" s="122">
        <v>2</v>
      </c>
      <c r="C8" s="663" t="s">
        <v>1099</v>
      </c>
      <c r="D8" s="663"/>
      <c r="E8" s="663"/>
      <c r="F8" s="663"/>
      <c r="G8" s="665"/>
      <c r="H8" s="665"/>
      <c r="I8" s="666"/>
    </row>
    <row r="9" spans="2:9" ht="15" customHeight="1">
      <c r="B9" s="122">
        <v>3</v>
      </c>
      <c r="C9" s="663" t="s">
        <v>1100</v>
      </c>
      <c r="D9" s="663"/>
      <c r="E9" s="663"/>
      <c r="F9" s="663"/>
      <c r="G9" s="665"/>
      <c r="H9" s="665"/>
      <c r="I9" s="666"/>
    </row>
    <row r="10" spans="2:9" ht="15" customHeight="1">
      <c r="B10" s="122">
        <v>4</v>
      </c>
      <c r="C10" s="663" t="s">
        <v>1101</v>
      </c>
      <c r="D10" s="663"/>
      <c r="E10" s="663"/>
      <c r="F10" s="663"/>
      <c r="G10" s="665"/>
      <c r="H10" s="665"/>
      <c r="I10" s="666"/>
    </row>
    <row r="11" spans="2:9" ht="15" customHeight="1">
      <c r="B11" s="122">
        <v>5</v>
      </c>
      <c r="C11" s="663" t="s">
        <v>1102</v>
      </c>
      <c r="D11" s="663"/>
      <c r="E11" s="663"/>
      <c r="F11" s="663"/>
      <c r="G11" s="665"/>
      <c r="H11" s="665"/>
      <c r="I11" s="666"/>
    </row>
    <row r="12" spans="2:9" ht="15" customHeight="1">
      <c r="B12" s="122">
        <v>6</v>
      </c>
      <c r="C12" s="663" t="s">
        <v>1103</v>
      </c>
      <c r="D12" s="663"/>
      <c r="E12" s="663"/>
      <c r="F12" s="663"/>
      <c r="G12" s="665"/>
      <c r="H12" s="665"/>
      <c r="I12" s="666"/>
    </row>
    <row r="13" spans="2:9" ht="15" customHeight="1">
      <c r="B13" s="122">
        <v>7</v>
      </c>
      <c r="C13" s="663" t="s">
        <v>1104</v>
      </c>
      <c r="D13" s="663"/>
      <c r="E13" s="663"/>
      <c r="F13" s="663"/>
      <c r="G13" s="665"/>
      <c r="H13" s="665"/>
      <c r="I13" s="666"/>
    </row>
    <row r="14" spans="2:9" ht="15" customHeight="1">
      <c r="B14" s="122">
        <v>8</v>
      </c>
      <c r="C14" s="663" t="s">
        <v>1105</v>
      </c>
      <c r="D14" s="663"/>
      <c r="E14" s="663"/>
      <c r="F14" s="663"/>
      <c r="G14" s="665"/>
      <c r="H14" s="665"/>
      <c r="I14" s="666"/>
    </row>
    <row r="15" spans="2:9" ht="15" customHeight="1">
      <c r="B15" s="122">
        <v>9</v>
      </c>
      <c r="C15" s="665" t="s">
        <v>1106</v>
      </c>
      <c r="D15" s="665"/>
      <c r="E15" s="665"/>
      <c r="F15" s="665"/>
      <c r="G15" s="665"/>
      <c r="H15" s="665"/>
      <c r="I15" s="666"/>
    </row>
    <row r="16" spans="2:9" ht="15" customHeight="1">
      <c r="B16" s="122">
        <v>10</v>
      </c>
      <c r="C16" s="663" t="s">
        <v>1107</v>
      </c>
      <c r="D16" s="663"/>
      <c r="E16" s="663"/>
      <c r="F16" s="663"/>
      <c r="G16" s="663"/>
      <c r="H16" s="663"/>
      <c r="I16" s="664"/>
    </row>
    <row r="17" spans="2:9" ht="15" customHeight="1">
      <c r="B17" s="122">
        <v>11</v>
      </c>
      <c r="C17" s="663" t="s">
        <v>1108</v>
      </c>
      <c r="D17" s="663"/>
      <c r="E17" s="663"/>
      <c r="F17" s="663"/>
      <c r="G17" s="663"/>
      <c r="H17" s="663"/>
      <c r="I17" s="664"/>
    </row>
    <row r="18" spans="2:9" ht="15" customHeight="1">
      <c r="B18" s="122">
        <v>12</v>
      </c>
      <c r="C18" s="663" t="s">
        <v>1109</v>
      </c>
      <c r="D18" s="663"/>
      <c r="E18" s="663"/>
      <c r="F18" s="663"/>
      <c r="G18" s="663"/>
      <c r="H18" s="663"/>
      <c r="I18" s="664"/>
    </row>
    <row r="19" spans="2:9" ht="15" customHeight="1">
      <c r="B19" s="122">
        <v>13</v>
      </c>
      <c r="C19" s="663" t="s">
        <v>447</v>
      </c>
      <c r="D19" s="663"/>
      <c r="E19" s="663"/>
      <c r="F19" s="663"/>
      <c r="G19" s="663"/>
      <c r="H19" s="663"/>
      <c r="I19" s="664"/>
    </row>
    <row r="20" spans="2:9" ht="15" customHeight="1">
      <c r="B20" s="122">
        <v>14</v>
      </c>
      <c r="C20" s="663" t="s">
        <v>1110</v>
      </c>
      <c r="D20" s="663"/>
      <c r="E20" s="663"/>
      <c r="F20" s="663"/>
      <c r="G20" s="663"/>
      <c r="H20" s="663"/>
      <c r="I20" s="664"/>
    </row>
    <row r="21" spans="2:9" ht="15" customHeight="1" thickBot="1">
      <c r="B21" s="123">
        <v>15</v>
      </c>
      <c r="C21" s="661" t="s">
        <v>1111</v>
      </c>
      <c r="D21" s="661"/>
      <c r="E21" s="661"/>
      <c r="F21" s="661"/>
      <c r="G21" s="661"/>
      <c r="H21" s="661"/>
      <c r="I21" s="662"/>
    </row>
    <row r="22" spans="2:9">
      <c r="B22" s="124"/>
      <c r="C22" s="125"/>
      <c r="D22" s="125"/>
      <c r="E22" s="125"/>
      <c r="F22" s="125"/>
      <c r="G22" s="125"/>
      <c r="H22" s="125"/>
      <c r="I22" s="126"/>
    </row>
    <row r="23" spans="2:9" ht="13.5" thickBot="1">
      <c r="B23" s="658" t="s">
        <v>4</v>
      </c>
      <c r="C23" s="659"/>
      <c r="D23" s="659"/>
      <c r="E23" s="659"/>
      <c r="F23" s="659"/>
      <c r="G23" s="659"/>
      <c r="H23" s="659"/>
      <c r="I23" s="660"/>
    </row>
  </sheetData>
  <sheetProtection password="C288" sheet="1"/>
  <mergeCells count="22">
    <mergeCell ref="B3:I3"/>
    <mergeCell ref="C4:I4"/>
    <mergeCell ref="C5:I5"/>
    <mergeCell ref="C6:I6"/>
    <mergeCell ref="C7:I7"/>
    <mergeCell ref="C8:I8"/>
    <mergeCell ref="C11:I11"/>
    <mergeCell ref="C12:I12"/>
    <mergeCell ref="C13:I13"/>
    <mergeCell ref="C14:I14"/>
    <mergeCell ref="C15:I15"/>
    <mergeCell ref="C19:I19"/>
    <mergeCell ref="B2:C2"/>
    <mergeCell ref="E2:G2"/>
    <mergeCell ref="B23:I23"/>
    <mergeCell ref="C21:I21"/>
    <mergeCell ref="C20:I20"/>
    <mergeCell ref="C17:I17"/>
    <mergeCell ref="C18:I18"/>
    <mergeCell ref="C16:I16"/>
    <mergeCell ref="C9:I9"/>
    <mergeCell ref="C10:I10"/>
  </mergeCells>
  <hyperlinks>
    <hyperlink ref="B2:C2" location="'Cover Page'!A1" tooltip="Cover Page" display="Previous Page"/>
    <hyperlink ref="E2:G2" location="'Table of Contents'!A1" tooltip="Table of Contents" display="Table of Contents"/>
    <hyperlink ref="I2" location="'General Instructions'!A1" tooltip="General Instructions" display="Next Page"/>
  </hyperlinks>
  <pageMargins left="0.25" right="0.25" top="0.75" bottom="0.75" header="0.3" footer="0.3"/>
  <pageSetup orientation="landscape" cellComments="atEnd" r:id="rId1"/>
  <headerFooter>
    <oddHeader>&amp;F</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3.5703125" style="45" customWidth="1"/>
    <col min="4" max="4" width="11.28515625" style="45" customWidth="1"/>
    <col min="5" max="11" width="17.7109375" style="45" customWidth="1"/>
    <col min="12" max="16384" width="8.85546875" style="45"/>
  </cols>
  <sheetData>
    <row r="1" spans="2:11" ht="13.5" customHeight="1" thickBot="1"/>
    <row r="2" spans="2:11" ht="13.5" customHeight="1" thickBot="1">
      <c r="B2" s="655" t="s">
        <v>487</v>
      </c>
      <c r="C2" s="656"/>
      <c r="D2" s="656"/>
      <c r="E2" s="143"/>
      <c r="F2" s="657" t="s">
        <v>1204</v>
      </c>
      <c r="G2" s="657"/>
      <c r="H2" s="657"/>
      <c r="I2" s="657"/>
      <c r="J2" s="183"/>
      <c r="K2" s="113" t="s">
        <v>486</v>
      </c>
    </row>
    <row r="3" spans="2:11" ht="13.5" customHeight="1" thickBot="1">
      <c r="B3" s="174" t="s">
        <v>1402</v>
      </c>
      <c r="C3" s="175"/>
      <c r="D3" s="175"/>
      <c r="E3" s="175"/>
      <c r="F3" s="175"/>
      <c r="G3" s="175"/>
      <c r="H3" s="175"/>
      <c r="I3" s="175"/>
      <c r="J3" s="175"/>
      <c r="K3" s="176"/>
    </row>
    <row r="4" spans="2:11" ht="30" customHeight="1">
      <c r="B4" s="1148" t="s">
        <v>5</v>
      </c>
      <c r="C4" s="252">
        <v>1</v>
      </c>
      <c r="D4" s="856" t="s">
        <v>1327</v>
      </c>
      <c r="E4" s="857"/>
      <c r="F4" s="857"/>
      <c r="G4" s="857"/>
      <c r="H4" s="857"/>
      <c r="I4" s="1159"/>
      <c r="J4" s="1312"/>
      <c r="K4" s="1314"/>
    </row>
    <row r="5" spans="2:11" ht="30" customHeight="1">
      <c r="B5" s="1149"/>
      <c r="C5" s="256">
        <v>2</v>
      </c>
      <c r="D5" s="853" t="s">
        <v>1161</v>
      </c>
      <c r="E5" s="854"/>
      <c r="F5" s="854"/>
      <c r="G5" s="854"/>
      <c r="H5" s="854"/>
      <c r="I5" s="855"/>
      <c r="J5" s="1164"/>
      <c r="K5" s="1316"/>
    </row>
    <row r="6" spans="2:11" ht="30" customHeight="1">
      <c r="B6" s="1149"/>
      <c r="C6" s="1299">
        <v>3</v>
      </c>
      <c r="D6" s="1369" t="s">
        <v>1162</v>
      </c>
      <c r="E6" s="1370"/>
      <c r="F6" s="1370"/>
      <c r="G6" s="1370"/>
      <c r="H6" s="1370"/>
      <c r="I6" s="1370"/>
      <c r="J6" s="1370"/>
      <c r="K6" s="486"/>
    </row>
    <row r="7" spans="2:11" ht="30" customHeight="1">
      <c r="B7" s="1149"/>
      <c r="C7" s="1382"/>
      <c r="D7" s="319" t="s">
        <v>448</v>
      </c>
      <c r="E7" s="1327"/>
      <c r="F7" s="1198"/>
      <c r="G7" s="1198"/>
      <c r="H7" s="1198"/>
      <c r="I7" s="1198"/>
      <c r="J7" s="1198"/>
      <c r="K7" s="1199"/>
    </row>
    <row r="8" spans="2:11" ht="30" customHeight="1">
      <c r="B8" s="1149"/>
      <c r="C8" s="1299">
        <v>4</v>
      </c>
      <c r="D8" s="1369" t="s">
        <v>1163</v>
      </c>
      <c r="E8" s="1370"/>
      <c r="F8" s="1370"/>
      <c r="G8" s="1370"/>
      <c r="H8" s="1370"/>
      <c r="I8" s="1378"/>
      <c r="J8" s="1309"/>
      <c r="K8" s="1381"/>
    </row>
    <row r="9" spans="2:11" ht="30" customHeight="1" thickBot="1">
      <c r="B9" s="1150"/>
      <c r="C9" s="1333"/>
      <c r="D9" s="319" t="s">
        <v>448</v>
      </c>
      <c r="E9" s="1186"/>
      <c r="F9" s="1187"/>
      <c r="G9" s="1187"/>
      <c r="H9" s="1187"/>
      <c r="I9" s="1187"/>
      <c r="J9" s="1187"/>
      <c r="K9" s="1188"/>
    </row>
    <row r="10" spans="2:11" ht="30" customHeight="1">
      <c r="B10" s="1148" t="s">
        <v>6</v>
      </c>
      <c r="C10" s="839" t="s">
        <v>1164</v>
      </c>
      <c r="D10" s="798"/>
      <c r="E10" s="798"/>
      <c r="F10" s="798"/>
      <c r="G10" s="798"/>
      <c r="H10" s="798"/>
      <c r="I10" s="798"/>
      <c r="J10" s="798"/>
      <c r="K10" s="799"/>
    </row>
    <row r="11" spans="2:11" ht="30" customHeight="1">
      <c r="B11" s="1229"/>
      <c r="C11" s="1327"/>
      <c r="D11" s="1198"/>
      <c r="E11" s="1198"/>
      <c r="F11" s="1198"/>
      <c r="G11" s="1198"/>
      <c r="H11" s="1198"/>
      <c r="I11" s="1198"/>
      <c r="J11" s="1198"/>
      <c r="K11" s="1199"/>
    </row>
    <row r="12" spans="2:11" ht="30" customHeight="1" thickBot="1">
      <c r="B12" s="1150"/>
      <c r="C12" s="1379" t="s">
        <v>448</v>
      </c>
      <c r="D12" s="1380"/>
      <c r="E12" s="1186"/>
      <c r="F12" s="1187"/>
      <c r="G12" s="1187"/>
      <c r="H12" s="1187"/>
      <c r="I12" s="1187"/>
      <c r="J12" s="1187"/>
      <c r="K12" s="1188"/>
    </row>
    <row r="13" spans="2:11" ht="30" customHeight="1">
      <c r="B13" s="1228" t="s">
        <v>7</v>
      </c>
      <c r="C13" s="839" t="s">
        <v>1249</v>
      </c>
      <c r="D13" s="798"/>
      <c r="E13" s="798"/>
      <c r="F13" s="798"/>
      <c r="G13" s="798"/>
      <c r="H13" s="798"/>
      <c r="I13" s="798"/>
      <c r="J13" s="798"/>
      <c r="K13" s="799"/>
    </row>
    <row r="14" spans="2:11" ht="30" customHeight="1">
      <c r="B14" s="1229"/>
      <c r="C14" s="256">
        <v>1</v>
      </c>
      <c r="D14" s="853" t="s">
        <v>1251</v>
      </c>
      <c r="E14" s="854"/>
      <c r="F14" s="854"/>
      <c r="G14" s="854"/>
      <c r="H14" s="854"/>
      <c r="I14" s="854"/>
      <c r="J14" s="855"/>
      <c r="K14" s="499"/>
    </row>
    <row r="15" spans="2:11" ht="30" customHeight="1">
      <c r="B15" s="1229"/>
      <c r="C15" s="325">
        <v>2</v>
      </c>
      <c r="D15" s="841" t="s">
        <v>1250</v>
      </c>
      <c r="E15" s="842"/>
      <c r="F15" s="842"/>
      <c r="G15" s="842"/>
      <c r="H15" s="842"/>
      <c r="I15" s="842"/>
      <c r="J15" s="843"/>
      <c r="K15" s="497"/>
    </row>
    <row r="16" spans="2:11" ht="30" customHeight="1" thickBot="1">
      <c r="B16" s="1230"/>
      <c r="C16" s="1281" t="s">
        <v>448</v>
      </c>
      <c r="D16" s="1282"/>
      <c r="E16" s="1186"/>
      <c r="F16" s="1187"/>
      <c r="G16" s="1187"/>
      <c r="H16" s="1187"/>
      <c r="I16" s="1187"/>
      <c r="J16" s="1187"/>
      <c r="K16" s="1188"/>
    </row>
    <row r="17" spans="2:11" ht="27" customHeight="1">
      <c r="B17" s="1254" t="s">
        <v>48</v>
      </c>
      <c r="C17" s="1255"/>
      <c r="D17" s="1326"/>
      <c r="E17" s="1375"/>
      <c r="F17" s="1376"/>
      <c r="G17" s="1376"/>
      <c r="H17" s="1376"/>
      <c r="I17" s="1376"/>
      <c r="J17" s="1376"/>
      <c r="K17" s="1377"/>
    </row>
    <row r="18" spans="2:11" ht="12.75" customHeight="1">
      <c r="B18" s="1167" t="s">
        <v>4</v>
      </c>
      <c r="C18" s="1168"/>
      <c r="D18" s="1168"/>
      <c r="E18" s="1168"/>
      <c r="F18" s="1168"/>
      <c r="G18" s="1168"/>
      <c r="H18" s="1168"/>
      <c r="I18" s="1168"/>
      <c r="J18" s="1168"/>
      <c r="K18" s="1169"/>
    </row>
    <row r="19" spans="2:11" ht="12.75" customHeight="1" thickBot="1">
      <c r="B19" s="1170"/>
      <c r="C19" s="1171"/>
      <c r="D19" s="1171"/>
      <c r="E19" s="1171"/>
      <c r="F19" s="1171"/>
      <c r="G19" s="1171"/>
      <c r="H19" s="1171"/>
      <c r="I19" s="1171"/>
      <c r="J19" s="1171"/>
      <c r="K19" s="1172"/>
    </row>
  </sheetData>
  <sheetProtection password="C288" sheet="1"/>
  <mergeCells count="28">
    <mergeCell ref="B13:B16"/>
    <mergeCell ref="D14:J14"/>
    <mergeCell ref="D15:J15"/>
    <mergeCell ref="D4:I4"/>
    <mergeCell ref="D5:I5"/>
    <mergeCell ref="C13:K13"/>
    <mergeCell ref="C16:D16"/>
    <mergeCell ref="E16:K16"/>
    <mergeCell ref="B18:K19"/>
    <mergeCell ref="J8:K8"/>
    <mergeCell ref="B10:B12"/>
    <mergeCell ref="C10:K10"/>
    <mergeCell ref="J4:K4"/>
    <mergeCell ref="D6:J6"/>
    <mergeCell ref="C6:C7"/>
    <mergeCell ref="E7:K7"/>
    <mergeCell ref="C11:K11"/>
    <mergeCell ref="J5:K5"/>
    <mergeCell ref="B2:D2"/>
    <mergeCell ref="F2:I2"/>
    <mergeCell ref="B17:D17"/>
    <mergeCell ref="E17:K17"/>
    <mergeCell ref="B4:B9"/>
    <mergeCell ref="E9:K9"/>
    <mergeCell ref="D8:I8"/>
    <mergeCell ref="C8:C9"/>
    <mergeCell ref="C12:D12"/>
    <mergeCell ref="E12:K12"/>
  </mergeCells>
  <dataValidations count="5">
    <dataValidation type="whole" allowBlank="1" showInputMessage="1" showErrorMessage="1" errorTitle="Number" error="Enter a number of weeks" sqref="J4:K5">
      <formula1>0</formula1>
      <formula2>5000000</formula2>
    </dataValidation>
    <dataValidation type="list" allowBlank="1" showInputMessage="1" showErrorMessage="1" sqref="K6">
      <formula1>YesNoNA</formula1>
    </dataValidation>
    <dataValidation type="list" allowBlank="1" showInputMessage="1" showErrorMessage="1" sqref="J8:K8">
      <formula1>Confidence</formula1>
    </dataValidation>
    <dataValidation type="list" allowBlank="1" showInputMessage="1" showErrorMessage="1" sqref="C11:K11">
      <formula1>InvMeth</formula1>
    </dataValidation>
    <dataValidation type="list" allowBlank="1" showInputMessage="1" showErrorMessage="1" sqref="K14:K15">
      <formula1>YesNoUnk</formula1>
    </dataValidation>
  </dataValidations>
  <hyperlinks>
    <hyperlink ref="B2:C2" location="'6a'!A1" tooltip="Materials &amp; Equipment" display="Previous Page"/>
    <hyperlink ref="K2" location="'6c'!A1" tooltip="Materials &amp; Equipment (continued)" display="Next Page"/>
  </hyperlinks>
  <pageMargins left="0.25" right="0.25" top="0.75" bottom="0.75" header="0.3" footer="0.3"/>
  <pageSetup scale="93" orientation="landscape" cellComments="atEnd" r:id="rId1"/>
  <headerFooter>
    <oddHeader>&amp;F</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9.42578125" style="45" customWidth="1"/>
    <col min="4" max="5" width="16.28515625" style="45" customWidth="1"/>
    <col min="6" max="7" width="12.5703125" style="45" customWidth="1"/>
    <col min="8" max="9" width="10.28515625" style="45" customWidth="1"/>
    <col min="10" max="10" width="12.42578125" style="45" customWidth="1"/>
    <col min="11" max="12" width="32.28515625" style="45" customWidth="1"/>
    <col min="13" max="16384" width="8.85546875" style="45"/>
  </cols>
  <sheetData>
    <row r="1" spans="2:12" ht="13.5" customHeight="1" thickBot="1"/>
    <row r="2" spans="2:12" ht="13.5" customHeight="1" thickBot="1">
      <c r="B2" s="655" t="s">
        <v>487</v>
      </c>
      <c r="C2" s="656"/>
      <c r="D2" s="143"/>
      <c r="E2" s="143"/>
      <c r="F2" s="143"/>
      <c r="G2" s="657" t="s">
        <v>1204</v>
      </c>
      <c r="H2" s="657"/>
      <c r="I2" s="657"/>
      <c r="J2" s="657"/>
      <c r="K2" s="183"/>
      <c r="L2" s="113" t="s">
        <v>486</v>
      </c>
    </row>
    <row r="3" spans="2:12" ht="13.5" customHeight="1" thickBot="1">
      <c r="B3" s="174" t="s">
        <v>1403</v>
      </c>
      <c r="C3" s="175"/>
      <c r="D3" s="175"/>
      <c r="E3" s="175"/>
      <c r="F3" s="175"/>
      <c r="G3" s="175"/>
      <c r="H3" s="175"/>
      <c r="I3" s="175"/>
      <c r="J3" s="175"/>
      <c r="K3" s="175"/>
      <c r="L3" s="176"/>
    </row>
    <row r="4" spans="2:12" ht="30" customHeight="1">
      <c r="B4" s="1274" t="s">
        <v>5</v>
      </c>
      <c r="C4" s="856" t="s">
        <v>1385</v>
      </c>
      <c r="D4" s="857"/>
      <c r="E4" s="857"/>
      <c r="F4" s="857"/>
      <c r="G4" s="857"/>
      <c r="H4" s="857"/>
      <c r="I4" s="857"/>
      <c r="J4" s="857"/>
      <c r="K4" s="857"/>
      <c r="L4" s="858"/>
    </row>
    <row r="5" spans="2:12" ht="42" customHeight="1">
      <c r="B5" s="1275"/>
      <c r="C5" s="1151" t="s">
        <v>769</v>
      </c>
      <c r="D5" s="1152"/>
      <c r="E5" s="1152"/>
      <c r="F5" s="172" t="s">
        <v>1384</v>
      </c>
      <c r="G5" s="306" t="s">
        <v>770</v>
      </c>
      <c r="H5" s="1231" t="s">
        <v>771</v>
      </c>
      <c r="I5" s="1240"/>
      <c r="J5" s="761" t="s">
        <v>468</v>
      </c>
      <c r="K5" s="762"/>
      <c r="L5" s="763"/>
    </row>
    <row r="6" spans="2:12" ht="13.5" customHeight="1">
      <c r="B6" s="1275"/>
      <c r="C6" s="853" t="s">
        <v>772</v>
      </c>
      <c r="D6" s="854"/>
      <c r="E6" s="855"/>
      <c r="F6" s="500"/>
      <c r="G6" s="485"/>
      <c r="H6" s="1361"/>
      <c r="I6" s="1389"/>
      <c r="J6" s="766"/>
      <c r="K6" s="767"/>
      <c r="L6" s="768"/>
    </row>
    <row r="7" spans="2:12" ht="13.5" customHeight="1">
      <c r="B7" s="1275"/>
      <c r="C7" s="1369" t="s">
        <v>774</v>
      </c>
      <c r="D7" s="1370"/>
      <c r="E7" s="1378"/>
      <c r="F7" s="500"/>
      <c r="G7" s="485"/>
      <c r="H7" s="1361"/>
      <c r="I7" s="1389"/>
      <c r="J7" s="766"/>
      <c r="K7" s="767"/>
      <c r="L7" s="768"/>
    </row>
    <row r="8" spans="2:12" ht="13.5" customHeight="1">
      <c r="B8" s="1275"/>
      <c r="C8" s="853" t="s">
        <v>775</v>
      </c>
      <c r="D8" s="854"/>
      <c r="E8" s="855"/>
      <c r="F8" s="500"/>
      <c r="G8" s="485"/>
      <c r="H8" s="1361"/>
      <c r="I8" s="1389"/>
      <c r="J8" s="766"/>
      <c r="K8" s="767"/>
      <c r="L8" s="768"/>
    </row>
    <row r="9" spans="2:12" ht="13.5" customHeight="1">
      <c r="B9" s="1275"/>
      <c r="C9" s="853" t="s">
        <v>776</v>
      </c>
      <c r="D9" s="854"/>
      <c r="E9" s="855"/>
      <c r="F9" s="500"/>
      <c r="G9" s="485"/>
      <c r="H9" s="1361"/>
      <c r="I9" s="1389"/>
      <c r="J9" s="766"/>
      <c r="K9" s="767"/>
      <c r="L9" s="768"/>
    </row>
    <row r="10" spans="2:12" ht="13.5" customHeight="1">
      <c r="B10" s="1275"/>
      <c r="C10" s="853" t="s">
        <v>777</v>
      </c>
      <c r="D10" s="854"/>
      <c r="E10" s="855"/>
      <c r="F10" s="500"/>
      <c r="G10" s="485"/>
      <c r="H10" s="1361"/>
      <c r="I10" s="1389"/>
      <c r="J10" s="766"/>
      <c r="K10" s="767"/>
      <c r="L10" s="768"/>
    </row>
    <row r="11" spans="2:12" ht="13.5" customHeight="1">
      <c r="B11" s="1275"/>
      <c r="C11" s="841" t="s">
        <v>778</v>
      </c>
      <c r="D11" s="842"/>
      <c r="E11" s="843"/>
      <c r="F11" s="500"/>
      <c r="G11" s="485"/>
      <c r="H11" s="1361"/>
      <c r="I11" s="1389"/>
      <c r="J11" s="766"/>
      <c r="K11" s="767"/>
      <c r="L11" s="768"/>
    </row>
    <row r="12" spans="2:12" ht="13.5" customHeight="1">
      <c r="B12" s="1275"/>
      <c r="C12" s="841" t="s">
        <v>779</v>
      </c>
      <c r="D12" s="842"/>
      <c r="E12" s="843"/>
      <c r="F12" s="500"/>
      <c r="G12" s="485"/>
      <c r="H12" s="1361"/>
      <c r="I12" s="1389"/>
      <c r="J12" s="766"/>
      <c r="K12" s="767"/>
      <c r="L12" s="768"/>
    </row>
    <row r="13" spans="2:12" ht="13.5" customHeight="1">
      <c r="B13" s="1275"/>
      <c r="C13" s="841" t="s">
        <v>780</v>
      </c>
      <c r="D13" s="842"/>
      <c r="E13" s="843"/>
      <c r="F13" s="500"/>
      <c r="G13" s="485"/>
      <c r="H13" s="1361"/>
      <c r="I13" s="1389"/>
      <c r="J13" s="766"/>
      <c r="K13" s="767"/>
      <c r="L13" s="768"/>
    </row>
    <row r="14" spans="2:12" ht="13.5" customHeight="1">
      <c r="B14" s="1275"/>
      <c r="C14" s="841" t="s">
        <v>747</v>
      </c>
      <c r="D14" s="842"/>
      <c r="E14" s="843"/>
      <c r="F14" s="500"/>
      <c r="G14" s="485"/>
      <c r="H14" s="1361"/>
      <c r="I14" s="1389"/>
      <c r="J14" s="766"/>
      <c r="K14" s="767"/>
      <c r="L14" s="768"/>
    </row>
    <row r="15" spans="2:12" ht="13.5" customHeight="1">
      <c r="B15" s="1275"/>
      <c r="C15" s="841" t="s">
        <v>781</v>
      </c>
      <c r="D15" s="842"/>
      <c r="E15" s="843"/>
      <c r="F15" s="500"/>
      <c r="G15" s="485"/>
      <c r="H15" s="1361"/>
      <c r="I15" s="1389"/>
      <c r="J15" s="766"/>
      <c r="K15" s="767"/>
      <c r="L15" s="768"/>
    </row>
    <row r="16" spans="2:12" ht="13.5" customHeight="1">
      <c r="B16" s="1275"/>
      <c r="C16" s="841" t="s">
        <v>791</v>
      </c>
      <c r="D16" s="842"/>
      <c r="E16" s="843"/>
      <c r="F16" s="500"/>
      <c r="G16" s="485"/>
      <c r="H16" s="1361"/>
      <c r="I16" s="1389"/>
      <c r="J16" s="766"/>
      <c r="K16" s="767"/>
      <c r="L16" s="768"/>
    </row>
    <row r="17" spans="2:12" ht="13.5" customHeight="1">
      <c r="B17" s="1275"/>
      <c r="C17" s="841" t="s">
        <v>782</v>
      </c>
      <c r="D17" s="842"/>
      <c r="E17" s="843"/>
      <c r="F17" s="500"/>
      <c r="G17" s="485"/>
      <c r="H17" s="1361"/>
      <c r="I17" s="1389"/>
      <c r="J17" s="766"/>
      <c r="K17" s="767"/>
      <c r="L17" s="768"/>
    </row>
    <row r="18" spans="2:12" ht="13.5" customHeight="1">
      <c r="B18" s="1275"/>
      <c r="C18" s="841" t="s">
        <v>783</v>
      </c>
      <c r="D18" s="842"/>
      <c r="E18" s="843"/>
      <c r="F18" s="500"/>
      <c r="G18" s="485"/>
      <c r="H18" s="1361"/>
      <c r="I18" s="1389"/>
      <c r="J18" s="766"/>
      <c r="K18" s="767"/>
      <c r="L18" s="768"/>
    </row>
    <row r="19" spans="2:12" ht="13.5" customHeight="1">
      <c r="B19" s="1275"/>
      <c r="C19" s="841" t="s">
        <v>784</v>
      </c>
      <c r="D19" s="842"/>
      <c r="E19" s="843"/>
      <c r="F19" s="500"/>
      <c r="G19" s="485"/>
      <c r="H19" s="1361"/>
      <c r="I19" s="1389"/>
      <c r="J19" s="766"/>
      <c r="K19" s="767"/>
      <c r="L19" s="768"/>
    </row>
    <row r="20" spans="2:12" ht="13.5" customHeight="1">
      <c r="B20" s="1275"/>
      <c r="C20" s="841" t="s">
        <v>785</v>
      </c>
      <c r="D20" s="842"/>
      <c r="E20" s="843"/>
      <c r="F20" s="500"/>
      <c r="G20" s="485"/>
      <c r="H20" s="1361"/>
      <c r="I20" s="1389"/>
      <c r="J20" s="766"/>
      <c r="K20" s="767"/>
      <c r="L20" s="768"/>
    </row>
    <row r="21" spans="2:12" ht="13.5" customHeight="1">
      <c r="B21" s="1275"/>
      <c r="C21" s="841" t="s">
        <v>1248</v>
      </c>
      <c r="D21" s="842"/>
      <c r="E21" s="843"/>
      <c r="F21" s="500"/>
      <c r="G21" s="485"/>
      <c r="H21" s="1361"/>
      <c r="I21" s="1389"/>
      <c r="J21" s="766"/>
      <c r="K21" s="767"/>
      <c r="L21" s="768"/>
    </row>
    <row r="22" spans="2:12" ht="13.5" customHeight="1">
      <c r="B22" s="1275"/>
      <c r="C22" s="841" t="s">
        <v>773</v>
      </c>
      <c r="D22" s="842"/>
      <c r="E22" s="843"/>
      <c r="F22" s="500"/>
      <c r="G22" s="485"/>
      <c r="H22" s="1361"/>
      <c r="I22" s="1389"/>
      <c r="J22" s="766"/>
      <c r="K22" s="767"/>
      <c r="L22" s="768"/>
    </row>
    <row r="23" spans="2:12" ht="13.5" customHeight="1">
      <c r="B23" s="1275"/>
      <c r="C23" s="841" t="s">
        <v>787</v>
      </c>
      <c r="D23" s="842"/>
      <c r="E23" s="843"/>
      <c r="F23" s="500"/>
      <c r="G23" s="485"/>
      <c r="H23" s="1361"/>
      <c r="I23" s="1389"/>
      <c r="J23" s="766"/>
      <c r="K23" s="767"/>
      <c r="L23" s="768"/>
    </row>
    <row r="24" spans="2:12" ht="13.5" customHeight="1">
      <c r="B24" s="1275"/>
      <c r="C24" s="841" t="s">
        <v>788</v>
      </c>
      <c r="D24" s="842"/>
      <c r="E24" s="843"/>
      <c r="F24" s="500"/>
      <c r="G24" s="485"/>
      <c r="H24" s="1361"/>
      <c r="I24" s="1389"/>
      <c r="J24" s="766"/>
      <c r="K24" s="767"/>
      <c r="L24" s="768"/>
    </row>
    <row r="25" spans="2:12" ht="13.5" customHeight="1">
      <c r="B25" s="1275"/>
      <c r="C25" s="841" t="s">
        <v>789</v>
      </c>
      <c r="D25" s="842"/>
      <c r="E25" s="843"/>
      <c r="F25" s="500"/>
      <c r="G25" s="485"/>
      <c r="H25" s="1361"/>
      <c r="I25" s="1389"/>
      <c r="J25" s="766"/>
      <c r="K25" s="767"/>
      <c r="L25" s="768"/>
    </row>
    <row r="26" spans="2:12" ht="13.5" customHeight="1">
      <c r="B26" s="1275"/>
      <c r="C26" s="841" t="s">
        <v>790</v>
      </c>
      <c r="D26" s="842"/>
      <c r="E26" s="843"/>
      <c r="F26" s="500"/>
      <c r="G26" s="485"/>
      <c r="H26" s="1361"/>
      <c r="I26" s="1389"/>
      <c r="J26" s="766"/>
      <c r="K26" s="767"/>
      <c r="L26" s="768"/>
    </row>
    <row r="27" spans="2:12" ht="13.5" customHeight="1">
      <c r="B27" s="1275"/>
      <c r="C27" s="841" t="s">
        <v>792</v>
      </c>
      <c r="D27" s="842"/>
      <c r="E27" s="843"/>
      <c r="F27" s="500"/>
      <c r="G27" s="485"/>
      <c r="H27" s="1361"/>
      <c r="I27" s="1389"/>
      <c r="J27" s="766"/>
      <c r="K27" s="767"/>
      <c r="L27" s="768"/>
    </row>
    <row r="28" spans="2:12" ht="13.5" customHeight="1">
      <c r="B28" s="1275"/>
      <c r="C28" s="841" t="s">
        <v>793</v>
      </c>
      <c r="D28" s="842"/>
      <c r="E28" s="843"/>
      <c r="F28" s="500"/>
      <c r="G28" s="485"/>
      <c r="H28" s="1361"/>
      <c r="I28" s="1389"/>
      <c r="J28" s="766"/>
      <c r="K28" s="767"/>
      <c r="L28" s="768"/>
    </row>
    <row r="29" spans="2:12" ht="15" customHeight="1">
      <c r="B29" s="1275"/>
      <c r="C29" s="211" t="s">
        <v>107</v>
      </c>
      <c r="D29" s="1309" t="s">
        <v>405</v>
      </c>
      <c r="E29" s="1310"/>
      <c r="F29" s="500"/>
      <c r="G29" s="485"/>
      <c r="H29" s="1361"/>
      <c r="I29" s="1389"/>
      <c r="J29" s="766"/>
      <c r="K29" s="767"/>
      <c r="L29" s="768"/>
    </row>
    <row r="30" spans="2:12" ht="15" customHeight="1">
      <c r="B30" s="1275"/>
      <c r="C30" s="212" t="s">
        <v>107</v>
      </c>
      <c r="D30" s="1309" t="s">
        <v>405</v>
      </c>
      <c r="E30" s="1310"/>
      <c r="F30" s="500"/>
      <c r="G30" s="485"/>
      <c r="H30" s="1361"/>
      <c r="I30" s="1389"/>
      <c r="J30" s="766"/>
      <c r="K30" s="767"/>
      <c r="L30" s="768"/>
    </row>
    <row r="31" spans="2:12" ht="15" customHeight="1" thickBot="1">
      <c r="B31" s="1275"/>
      <c r="C31" s="32" t="s">
        <v>107</v>
      </c>
      <c r="D31" s="1336" t="s">
        <v>405</v>
      </c>
      <c r="E31" s="1390"/>
      <c r="F31" s="501"/>
      <c r="G31" s="493"/>
      <c r="H31" s="1383"/>
      <c r="I31" s="1384"/>
      <c r="J31" s="1391"/>
      <c r="K31" s="1392"/>
      <c r="L31" s="1393"/>
    </row>
    <row r="32" spans="2:12" ht="30" customHeight="1">
      <c r="B32" s="1274" t="s">
        <v>6</v>
      </c>
      <c r="C32" s="857"/>
      <c r="D32" s="857"/>
      <c r="E32" s="857"/>
      <c r="F32" s="857"/>
      <c r="G32" s="1159"/>
      <c r="H32" s="279" t="s">
        <v>94</v>
      </c>
      <c r="I32" s="278" t="s">
        <v>95</v>
      </c>
      <c r="J32" s="1385" t="s">
        <v>497</v>
      </c>
      <c r="K32" s="1386"/>
      <c r="L32" s="1387"/>
    </row>
    <row r="33" spans="2:12" ht="30" customHeight="1">
      <c r="B33" s="1275"/>
      <c r="C33" s="854" t="s">
        <v>1165</v>
      </c>
      <c r="D33" s="854"/>
      <c r="E33" s="854"/>
      <c r="F33" s="854"/>
      <c r="G33" s="855"/>
      <c r="H33" s="502"/>
      <c r="I33" s="502"/>
      <c r="J33" s="1309"/>
      <c r="K33" s="1388"/>
      <c r="L33" s="1381"/>
    </row>
    <row r="34" spans="2:12" ht="30" customHeight="1" thickBot="1">
      <c r="B34" s="1280"/>
      <c r="C34" s="773" t="s">
        <v>1166</v>
      </c>
      <c r="D34" s="773"/>
      <c r="E34" s="773"/>
      <c r="F34" s="773"/>
      <c r="G34" s="774"/>
      <c r="H34" s="476"/>
      <c r="I34" s="476"/>
      <c r="J34" s="1394"/>
      <c r="K34" s="1395"/>
      <c r="L34" s="1396"/>
    </row>
    <row r="35" spans="2:12" ht="30" customHeight="1">
      <c r="B35" s="1274" t="s">
        <v>7</v>
      </c>
      <c r="C35" s="857" t="s">
        <v>1167</v>
      </c>
      <c r="D35" s="857"/>
      <c r="E35" s="857"/>
      <c r="F35" s="857"/>
      <c r="G35" s="1159"/>
      <c r="H35" s="480"/>
      <c r="I35" s="333" t="s">
        <v>448</v>
      </c>
      <c r="J35" s="1397"/>
      <c r="K35" s="1398"/>
      <c r="L35" s="1399"/>
    </row>
    <row r="36" spans="2:12" ht="30" customHeight="1" thickBot="1">
      <c r="B36" s="1280"/>
      <c r="C36" s="773" t="s">
        <v>1168</v>
      </c>
      <c r="D36" s="773"/>
      <c r="E36" s="773"/>
      <c r="F36" s="773"/>
      <c r="G36" s="774"/>
      <c r="H36" s="476"/>
      <c r="I36" s="213" t="s">
        <v>448</v>
      </c>
      <c r="J36" s="810"/>
      <c r="K36" s="811"/>
      <c r="L36" s="812"/>
    </row>
    <row r="37" spans="2:12" ht="27" customHeight="1">
      <c r="B37" s="1173" t="s">
        <v>48</v>
      </c>
      <c r="C37" s="1174"/>
      <c r="D37" s="1290"/>
      <c r="E37" s="1349"/>
      <c r="F37" s="1350"/>
      <c r="G37" s="1350"/>
      <c r="H37" s="1350"/>
      <c r="I37" s="1350"/>
      <c r="J37" s="1350"/>
      <c r="K37" s="1350"/>
      <c r="L37" s="1351"/>
    </row>
    <row r="38" spans="2:12" ht="12.75" customHeight="1">
      <c r="B38" s="1167" t="s">
        <v>4</v>
      </c>
      <c r="C38" s="1168"/>
      <c r="D38" s="1168"/>
      <c r="E38" s="1168"/>
      <c r="F38" s="1168"/>
      <c r="G38" s="1168"/>
      <c r="H38" s="1168"/>
      <c r="I38" s="1168"/>
      <c r="J38" s="1168"/>
      <c r="K38" s="1168"/>
      <c r="L38" s="1169"/>
    </row>
    <row r="39" spans="2:12" ht="12.75" customHeight="1" thickBot="1">
      <c r="B39" s="1170"/>
      <c r="C39" s="1171"/>
      <c r="D39" s="1171"/>
      <c r="E39" s="1171"/>
      <c r="F39" s="1171"/>
      <c r="G39" s="1171"/>
      <c r="H39" s="1171"/>
      <c r="I39" s="1171"/>
      <c r="J39" s="1171"/>
      <c r="K39" s="1171"/>
      <c r="L39" s="1172"/>
    </row>
  </sheetData>
  <sheetProtection password="C288" sheet="1"/>
  <mergeCells count="100">
    <mergeCell ref="J34:L34"/>
    <mergeCell ref="J35:L35"/>
    <mergeCell ref="J36:L36"/>
    <mergeCell ref="C34:G34"/>
    <mergeCell ref="B32:B34"/>
    <mergeCell ref="C35:G35"/>
    <mergeCell ref="C36:G36"/>
    <mergeCell ref="B35:B36"/>
    <mergeCell ref="J30:L30"/>
    <mergeCell ref="J31:L31"/>
    <mergeCell ref="B4:B31"/>
    <mergeCell ref="C32:G32"/>
    <mergeCell ref="H5:I5"/>
    <mergeCell ref="H6:I6"/>
    <mergeCell ref="H7:I7"/>
    <mergeCell ref="H8:I8"/>
    <mergeCell ref="H9:I9"/>
    <mergeCell ref="J24:L24"/>
    <mergeCell ref="J25:L25"/>
    <mergeCell ref="J26:L26"/>
    <mergeCell ref="J27:L27"/>
    <mergeCell ref="J28:L28"/>
    <mergeCell ref="J29:L29"/>
    <mergeCell ref="J18:L18"/>
    <mergeCell ref="J19:L19"/>
    <mergeCell ref="J20:L20"/>
    <mergeCell ref="J21:L21"/>
    <mergeCell ref="J22:L22"/>
    <mergeCell ref="J23:L23"/>
    <mergeCell ref="J12:L12"/>
    <mergeCell ref="J13:L13"/>
    <mergeCell ref="J14:L14"/>
    <mergeCell ref="J15:L15"/>
    <mergeCell ref="J16:L16"/>
    <mergeCell ref="J17:L17"/>
    <mergeCell ref="H15:I15"/>
    <mergeCell ref="H16:I16"/>
    <mergeCell ref="H17:I17"/>
    <mergeCell ref="J6:L6"/>
    <mergeCell ref="J7:L7"/>
    <mergeCell ref="J8:L8"/>
    <mergeCell ref="J9:L9"/>
    <mergeCell ref="J10:L10"/>
    <mergeCell ref="J11:L11"/>
    <mergeCell ref="C19:E19"/>
    <mergeCell ref="C20:E20"/>
    <mergeCell ref="C21:E21"/>
    <mergeCell ref="C27:E27"/>
    <mergeCell ref="C28:E28"/>
    <mergeCell ref="H10:I10"/>
    <mergeCell ref="H11:I11"/>
    <mergeCell ref="H12:I12"/>
    <mergeCell ref="H13:I13"/>
    <mergeCell ref="H14:I14"/>
    <mergeCell ref="B37:D37"/>
    <mergeCell ref="E37:L37"/>
    <mergeCell ref="B38:L39"/>
    <mergeCell ref="J5:L5"/>
    <mergeCell ref="C11:E11"/>
    <mergeCell ref="C12:E12"/>
    <mergeCell ref="C13:E13"/>
    <mergeCell ref="C14:E14"/>
    <mergeCell ref="C15:E15"/>
    <mergeCell ref="C17:E17"/>
    <mergeCell ref="D31:E31"/>
    <mergeCell ref="H18:I18"/>
    <mergeCell ref="H19:I19"/>
    <mergeCell ref="H20:I20"/>
    <mergeCell ref="H21:I21"/>
    <mergeCell ref="H22:I22"/>
    <mergeCell ref="H23:I23"/>
    <mergeCell ref="H24:I24"/>
    <mergeCell ref="C22:E22"/>
    <mergeCell ref="C23:E23"/>
    <mergeCell ref="H27:I27"/>
    <mergeCell ref="H28:I28"/>
    <mergeCell ref="H29:I29"/>
    <mergeCell ref="H30:I30"/>
    <mergeCell ref="D29:E29"/>
    <mergeCell ref="D30:E30"/>
    <mergeCell ref="C8:E8"/>
    <mergeCell ref="C9:E9"/>
    <mergeCell ref="C10:E10"/>
    <mergeCell ref="C18:E18"/>
    <mergeCell ref="H25:I25"/>
    <mergeCell ref="H26:I26"/>
    <mergeCell ref="C24:E24"/>
    <mergeCell ref="C25:E25"/>
    <mergeCell ref="C26:E26"/>
    <mergeCell ref="C16:E16"/>
    <mergeCell ref="B2:C2"/>
    <mergeCell ref="G2:J2"/>
    <mergeCell ref="C4:L4"/>
    <mergeCell ref="C5:E5"/>
    <mergeCell ref="H31:I31"/>
    <mergeCell ref="C33:G33"/>
    <mergeCell ref="J32:L32"/>
    <mergeCell ref="J33:L33"/>
    <mergeCell ref="C6:E6"/>
    <mergeCell ref="C7:E7"/>
  </mergeCells>
  <dataValidations count="4">
    <dataValidation type="list" allowBlank="1" showInputMessage="1" showErrorMessage="1" sqref="H6:I31">
      <formula1>EqConcern</formula1>
    </dataValidation>
    <dataValidation type="decimal" allowBlank="1" showInputMessage="1" showErrorMessage="1" errorTitle="Years" error="Enter a number of years." sqref="G6:G31">
      <formula1>0</formula1>
      <formula2>5000</formula2>
    </dataValidation>
    <dataValidation type="whole" operator="greaterThanOrEqual" allowBlank="1" showInputMessage="1" showErrorMessage="1" errorTitle="Number" error="Enter a whole numeral greater than zero." sqref="F6:F31">
      <formula1>0</formula1>
    </dataValidation>
    <dataValidation type="list" allowBlank="1" showInputMessage="1" showErrorMessage="1" sqref="I33:I34 H33:H36">
      <formula1>YesNoNA</formula1>
    </dataValidation>
  </dataValidations>
  <hyperlinks>
    <hyperlink ref="B2:C2" location="'6b'!A1" tooltip="Materials &amp; Equipment (continued)" display="Previous Page"/>
    <hyperlink ref="H2:J2" location="'Table of Contents'!A1" tooltip="Table of Contents" display="Table of Contents"/>
    <hyperlink ref="L2" location="'6d'!A1" tooltip="Materials &amp; Equipment (continued)" display="Next Page"/>
  </hyperlinks>
  <pageMargins left="0.25" right="0.25" top="0.75" bottom="0.75" header="0.3" footer="0.3"/>
  <pageSetup scale="79" orientation="landscape" cellComments="atEnd" r:id="rId1"/>
  <headerFooter>
    <oddHeader>&amp;F</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9"/>
  <sheetViews>
    <sheetView showGridLines="0" showRowColHeaders="0" zoomScaleNormal="100" workbookViewId="0"/>
  </sheetViews>
  <sheetFormatPr defaultColWidth="8.85546875" defaultRowHeight="13.5" customHeight="1"/>
  <cols>
    <col min="1" max="1" width="8.5703125" style="45" customWidth="1"/>
    <col min="2" max="3" width="3.85546875" style="45" customWidth="1"/>
    <col min="4" max="4" width="8.140625" style="45" customWidth="1"/>
    <col min="5" max="6" width="16.28515625" style="45" customWidth="1"/>
    <col min="7" max="8" width="12.5703125" style="45" customWidth="1"/>
    <col min="9" max="9" width="24.42578125" style="45" customWidth="1"/>
    <col min="10" max="10" width="15" style="45" customWidth="1"/>
    <col min="11" max="16384" width="8.85546875" style="45"/>
  </cols>
  <sheetData>
    <row r="1" spans="2:10" ht="13.5" customHeight="1" thickBot="1"/>
    <row r="2" spans="2:10" ht="13.5" customHeight="1" thickBot="1">
      <c r="B2" s="655" t="s">
        <v>487</v>
      </c>
      <c r="C2" s="656"/>
      <c r="D2" s="656"/>
      <c r="E2" s="143"/>
      <c r="F2" s="657" t="s">
        <v>1204</v>
      </c>
      <c r="G2" s="657"/>
      <c r="H2" s="657"/>
      <c r="I2" s="183"/>
      <c r="J2" s="113" t="s">
        <v>486</v>
      </c>
    </row>
    <row r="3" spans="2:10" ht="13.5" customHeight="1" thickBot="1">
      <c r="B3" s="174" t="s">
        <v>1404</v>
      </c>
      <c r="C3" s="175"/>
      <c r="D3" s="175"/>
      <c r="E3" s="175"/>
      <c r="F3" s="175"/>
      <c r="G3" s="175"/>
      <c r="H3" s="175"/>
      <c r="I3" s="175"/>
      <c r="J3" s="176"/>
    </row>
    <row r="4" spans="2:10" ht="30" customHeight="1">
      <c r="B4" s="1274" t="s">
        <v>5</v>
      </c>
      <c r="C4" s="856" t="s">
        <v>1328</v>
      </c>
      <c r="D4" s="857"/>
      <c r="E4" s="857"/>
      <c r="F4" s="857"/>
      <c r="G4" s="857"/>
      <c r="H4" s="857"/>
      <c r="I4" s="857"/>
      <c r="J4" s="503"/>
    </row>
    <row r="5" spans="2:10" ht="30" customHeight="1">
      <c r="B5" s="1275"/>
      <c r="C5" s="271"/>
      <c r="D5" s="1404" t="s">
        <v>1263</v>
      </c>
      <c r="E5" s="1404"/>
      <c r="F5" s="1405"/>
      <c r="G5" s="1404"/>
      <c r="H5" s="1405"/>
      <c r="I5" s="1405"/>
      <c r="J5" s="1406"/>
    </row>
    <row r="6" spans="2:10" ht="30" customHeight="1">
      <c r="B6" s="1275"/>
      <c r="C6" s="271"/>
      <c r="D6" s="1400" t="s">
        <v>1091</v>
      </c>
      <c r="E6" s="1401"/>
      <c r="F6" s="462"/>
      <c r="G6" s="273" t="s">
        <v>448</v>
      </c>
      <c r="H6" s="1408"/>
      <c r="I6" s="1409"/>
      <c r="J6" s="1410"/>
    </row>
    <row r="7" spans="2:10" ht="30" customHeight="1">
      <c r="B7" s="1275"/>
      <c r="C7" s="271"/>
      <c r="D7" s="1400" t="s">
        <v>1092</v>
      </c>
      <c r="E7" s="1401"/>
      <c r="F7" s="462"/>
      <c r="G7" s="273" t="s">
        <v>448</v>
      </c>
      <c r="H7" s="1408"/>
      <c r="I7" s="1409"/>
      <c r="J7" s="1410"/>
    </row>
    <row r="8" spans="2:10" ht="30" customHeight="1">
      <c r="B8" s="1275"/>
      <c r="C8" s="271"/>
      <c r="D8" s="1400" t="s">
        <v>786</v>
      </c>
      <c r="E8" s="1407"/>
      <c r="F8" s="462"/>
      <c r="G8" s="273" t="s">
        <v>448</v>
      </c>
      <c r="H8" s="1417"/>
      <c r="I8" s="1418"/>
      <c r="J8" s="1419"/>
    </row>
    <row r="9" spans="2:10" ht="30" customHeight="1" thickBot="1">
      <c r="B9" s="1275"/>
      <c r="C9" s="330"/>
      <c r="D9" s="274" t="s">
        <v>107</v>
      </c>
      <c r="E9" s="504" t="s">
        <v>405</v>
      </c>
      <c r="F9" s="504"/>
      <c r="G9" s="275" t="s">
        <v>448</v>
      </c>
      <c r="H9" s="1414"/>
      <c r="I9" s="1415"/>
      <c r="J9" s="1416"/>
    </row>
    <row r="10" spans="2:10" ht="30" customHeight="1">
      <c r="B10" s="1256" t="s">
        <v>6</v>
      </c>
      <c r="C10" s="1285" t="s">
        <v>1169</v>
      </c>
      <c r="D10" s="1285"/>
      <c r="E10" s="1285"/>
      <c r="F10" s="1285"/>
      <c r="G10" s="1285"/>
      <c r="H10" s="1285"/>
      <c r="I10" s="856"/>
      <c r="J10" s="505"/>
    </row>
    <row r="11" spans="2:10" ht="30" customHeight="1">
      <c r="B11" s="1257"/>
      <c r="C11" s="1264"/>
      <c r="D11" s="1412" t="s">
        <v>1093</v>
      </c>
      <c r="E11" s="1412"/>
      <c r="F11" s="1412"/>
      <c r="G11" s="1412"/>
      <c r="H11" s="1412"/>
      <c r="I11" s="1412"/>
      <c r="J11" s="1413"/>
    </row>
    <row r="12" spans="2:10" ht="30" customHeight="1">
      <c r="B12" s="1257"/>
      <c r="C12" s="1402"/>
      <c r="D12" s="1400" t="s">
        <v>1094</v>
      </c>
      <c r="E12" s="1400"/>
      <c r="F12" s="1400"/>
      <c r="G12" s="1400"/>
      <c r="H12" s="1400"/>
      <c r="I12" s="1401"/>
      <c r="J12" s="497"/>
    </row>
    <row r="13" spans="2:10" ht="30" customHeight="1">
      <c r="B13" s="1257"/>
      <c r="C13" s="1402"/>
      <c r="D13" s="1400" t="s">
        <v>1095</v>
      </c>
      <c r="E13" s="1400"/>
      <c r="F13" s="1400"/>
      <c r="G13" s="1400"/>
      <c r="H13" s="1400"/>
      <c r="I13" s="1401"/>
      <c r="J13" s="497"/>
    </row>
    <row r="14" spans="2:10" ht="30" customHeight="1">
      <c r="B14" s="1257"/>
      <c r="C14" s="1402"/>
      <c r="D14" s="1400" t="s">
        <v>1096</v>
      </c>
      <c r="E14" s="1411"/>
      <c r="F14" s="1411"/>
      <c r="G14" s="1411"/>
      <c r="H14" s="1411"/>
      <c r="I14" s="1407"/>
      <c r="J14" s="506"/>
    </row>
    <row r="15" spans="2:10" ht="30" customHeight="1">
      <c r="B15" s="1257"/>
      <c r="C15" s="1402"/>
      <c r="D15" s="276" t="s">
        <v>107</v>
      </c>
      <c r="E15" s="1164" t="s">
        <v>405</v>
      </c>
      <c r="F15" s="1315"/>
      <c r="G15" s="1315"/>
      <c r="H15" s="1315"/>
      <c r="I15" s="1165"/>
      <c r="J15" s="507"/>
    </row>
    <row r="16" spans="2:10" ht="30" customHeight="1" thickBot="1">
      <c r="B16" s="1258"/>
      <c r="C16" s="1403"/>
      <c r="D16" s="272" t="s">
        <v>107</v>
      </c>
      <c r="E16" s="1200" t="s">
        <v>405</v>
      </c>
      <c r="F16" s="1328"/>
      <c r="G16" s="1328"/>
      <c r="H16" s="1328"/>
      <c r="I16" s="1201"/>
      <c r="J16" s="508"/>
    </row>
    <row r="17" spans="2:10" ht="27" customHeight="1">
      <c r="B17" s="1173" t="s">
        <v>48</v>
      </c>
      <c r="C17" s="1174"/>
      <c r="D17" s="1174"/>
      <c r="E17" s="1290"/>
      <c r="F17" s="1349"/>
      <c r="G17" s="1350"/>
      <c r="H17" s="1350"/>
      <c r="I17" s="1350"/>
      <c r="J17" s="1351"/>
    </row>
    <row r="18" spans="2:10" ht="12.75" customHeight="1">
      <c r="B18" s="1167" t="s">
        <v>4</v>
      </c>
      <c r="C18" s="1168"/>
      <c r="D18" s="1168"/>
      <c r="E18" s="1168"/>
      <c r="F18" s="1168"/>
      <c r="G18" s="1168"/>
      <c r="H18" s="1168"/>
      <c r="I18" s="1168"/>
      <c r="J18" s="1169"/>
    </row>
    <row r="19" spans="2:10" ht="12.75" customHeight="1" thickBot="1">
      <c r="B19" s="1170"/>
      <c r="C19" s="1171"/>
      <c r="D19" s="1171"/>
      <c r="E19" s="1171"/>
      <c r="F19" s="1171"/>
      <c r="G19" s="1171"/>
      <c r="H19" s="1171"/>
      <c r="I19" s="1171"/>
      <c r="J19" s="1172"/>
    </row>
  </sheetData>
  <sheetProtection password="C288" sheet="1"/>
  <mergeCells count="24">
    <mergeCell ref="D11:J11"/>
    <mergeCell ref="H9:J9"/>
    <mergeCell ref="H8:J8"/>
    <mergeCell ref="B2:D2"/>
    <mergeCell ref="B4:B9"/>
    <mergeCell ref="C4:I4"/>
    <mergeCell ref="C10:I10"/>
    <mergeCell ref="F2:H2"/>
    <mergeCell ref="D13:I13"/>
    <mergeCell ref="D14:I14"/>
    <mergeCell ref="B17:E17"/>
    <mergeCell ref="F17:J17"/>
    <mergeCell ref="E15:I15"/>
    <mergeCell ref="E16:I16"/>
    <mergeCell ref="D12:I12"/>
    <mergeCell ref="B10:B16"/>
    <mergeCell ref="C11:C16"/>
    <mergeCell ref="B18:J19"/>
    <mergeCell ref="D5:J5"/>
    <mergeCell ref="D6:E6"/>
    <mergeCell ref="D7:E7"/>
    <mergeCell ref="D8:E8"/>
    <mergeCell ref="H6:J6"/>
    <mergeCell ref="H7:J7"/>
  </mergeCells>
  <dataValidations count="2">
    <dataValidation type="list" allowBlank="1" showInputMessage="1" showErrorMessage="1" sqref="J4 F6:F9">
      <formula1>Counterfeit</formula1>
    </dataValidation>
    <dataValidation type="list" allowBlank="1" showInputMessage="1" showErrorMessage="1" sqref="J10 J12:J16">
      <formula1>YesNoNA</formula1>
    </dataValidation>
  </dataValidations>
  <hyperlinks>
    <hyperlink ref="B2:D2" location="'6c'!A1" tooltip="Materials &amp; Equipment (continued)" display="Previous Page"/>
    <hyperlink ref="J2" location="'7'!A1" tooltip="Sales" display="Next Page"/>
  </hyperlinks>
  <pageMargins left="0.25" right="0.25" top="0.75" bottom="0.75" header="0.3" footer="0.3"/>
  <pageSetup orientation="landscape" cellComments="atEnd" r:id="rId1"/>
  <headerFooter>
    <oddHeader>&amp;F</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showRowColHeaders="0" zoomScaleNormal="100" workbookViewId="0"/>
  </sheetViews>
  <sheetFormatPr defaultColWidth="8.85546875" defaultRowHeight="12.75"/>
  <cols>
    <col min="1" max="1" width="8.5703125" style="48" customWidth="1"/>
    <col min="2" max="2" width="3.7109375" style="48" customWidth="1"/>
    <col min="3" max="3" width="3.42578125" style="48" customWidth="1"/>
    <col min="4" max="4" width="36.5703125" style="48" customWidth="1"/>
    <col min="5" max="5" width="17.140625" style="48" customWidth="1"/>
    <col min="6" max="7" width="12.7109375" style="48" customWidth="1"/>
    <col min="8" max="8" width="1.42578125" style="48" customWidth="1"/>
    <col min="9" max="10" width="12.7109375" style="48" customWidth="1"/>
    <col min="11" max="11" width="1.42578125" style="48" customWidth="1"/>
    <col min="12" max="13" width="12.7109375" style="48" customWidth="1"/>
    <col min="14" max="14" width="1.42578125" style="48" customWidth="1"/>
    <col min="15" max="16" width="12.7109375" style="48" customWidth="1"/>
    <col min="17" max="17" width="8.85546875" style="48"/>
    <col min="18" max="19" width="11.28515625" style="48" customWidth="1"/>
    <col min="20" max="16384" width="8.85546875" style="48"/>
  </cols>
  <sheetData>
    <row r="1" spans="2:19" ht="13.5" customHeight="1" thickBot="1"/>
    <row r="2" spans="2:19" ht="13.5" customHeight="1" thickBot="1">
      <c r="B2" s="655" t="s">
        <v>487</v>
      </c>
      <c r="C2" s="656"/>
      <c r="D2" s="656"/>
      <c r="E2" s="112"/>
      <c r="F2" s="657" t="s">
        <v>1204</v>
      </c>
      <c r="G2" s="657"/>
      <c r="H2" s="657"/>
      <c r="I2" s="657"/>
      <c r="J2" s="657"/>
      <c r="K2" s="657"/>
      <c r="L2" s="112"/>
      <c r="M2" s="112"/>
      <c r="N2" s="114"/>
      <c r="O2" s="115"/>
      <c r="P2" s="113" t="s">
        <v>486</v>
      </c>
    </row>
    <row r="3" spans="2:19" ht="13.5" customHeight="1" thickBot="1">
      <c r="B3" s="1437" t="s">
        <v>124</v>
      </c>
      <c r="C3" s="1438"/>
      <c r="D3" s="1438"/>
      <c r="E3" s="1438"/>
      <c r="F3" s="1438"/>
      <c r="G3" s="1438"/>
      <c r="H3" s="1438"/>
      <c r="I3" s="1438"/>
      <c r="J3" s="1438"/>
      <c r="K3" s="1438"/>
      <c r="L3" s="1438"/>
      <c r="M3" s="1438"/>
      <c r="N3" s="1438"/>
      <c r="O3" s="1438"/>
      <c r="P3" s="1439"/>
    </row>
    <row r="4" spans="2:19" ht="60" customHeight="1">
      <c r="B4" s="1440" t="s">
        <v>1388</v>
      </c>
      <c r="C4" s="1428"/>
      <c r="D4" s="1428"/>
      <c r="E4" s="1428"/>
      <c r="F4" s="1428"/>
      <c r="G4" s="1441"/>
      <c r="H4" s="1441"/>
      <c r="I4" s="1441"/>
      <c r="J4" s="1441"/>
      <c r="K4" s="1441"/>
      <c r="L4" s="1441"/>
      <c r="M4" s="1441"/>
      <c r="N4" s="1441"/>
      <c r="O4" s="1441"/>
      <c r="P4" s="1442"/>
    </row>
    <row r="5" spans="2:19" ht="15.75" customHeight="1">
      <c r="B5" s="66"/>
      <c r="C5" s="67"/>
      <c r="D5" s="1435" t="s">
        <v>446</v>
      </c>
      <c r="E5" s="1435"/>
      <c r="F5" s="1436"/>
      <c r="G5" s="1450"/>
      <c r="H5" s="1451"/>
      <c r="I5" s="1451"/>
      <c r="J5" s="1451"/>
      <c r="K5" s="1451"/>
      <c r="L5" s="1452"/>
      <c r="M5" s="223"/>
      <c r="N5" s="223"/>
      <c r="O5" s="223"/>
      <c r="P5" s="225"/>
    </row>
    <row r="6" spans="2:19" ht="15.75" customHeight="1" thickBot="1">
      <c r="B6" s="68"/>
      <c r="C6" s="69"/>
      <c r="D6" s="1448" t="s">
        <v>54</v>
      </c>
      <c r="E6" s="1448"/>
      <c r="F6" s="1449"/>
      <c r="G6" s="1453"/>
      <c r="H6" s="1454"/>
      <c r="I6" s="1454"/>
      <c r="J6" s="1454"/>
      <c r="K6" s="1454"/>
      <c r="L6" s="1455"/>
      <c r="M6" s="224"/>
      <c r="N6" s="224"/>
      <c r="O6" s="224"/>
      <c r="P6" s="226"/>
    </row>
    <row r="7" spans="2:19" ht="14.25" customHeight="1" thickBot="1">
      <c r="B7" s="70"/>
      <c r="C7" s="71"/>
      <c r="D7" s="71"/>
      <c r="E7" s="71"/>
      <c r="F7" s="1422" t="s">
        <v>93</v>
      </c>
      <c r="G7" s="1422"/>
      <c r="H7" s="1422"/>
      <c r="I7" s="1422"/>
      <c r="J7" s="1422"/>
      <c r="K7" s="1422"/>
      <c r="L7" s="1422"/>
      <c r="M7" s="1422"/>
      <c r="N7" s="1422"/>
      <c r="O7" s="1422"/>
      <c r="P7" s="1423"/>
    </row>
    <row r="8" spans="2:19">
      <c r="B8" s="72"/>
      <c r="C8" s="73"/>
      <c r="D8" s="73"/>
      <c r="E8" s="74"/>
      <c r="F8" s="1420">
        <v>2012</v>
      </c>
      <c r="G8" s="1421"/>
      <c r="H8" s="75"/>
      <c r="I8" s="1420">
        <v>2013</v>
      </c>
      <c r="J8" s="1421"/>
      <c r="K8" s="75"/>
      <c r="L8" s="1420">
        <v>2014</v>
      </c>
      <c r="M8" s="1421"/>
      <c r="N8" s="75"/>
      <c r="O8" s="1420">
        <v>2015</v>
      </c>
      <c r="P8" s="1421"/>
      <c r="R8" s="1443" t="s">
        <v>1386</v>
      </c>
      <c r="S8" s="1444"/>
    </row>
    <row r="9" spans="2:19">
      <c r="B9" s="77"/>
      <c r="C9" s="78"/>
      <c r="D9" s="78"/>
      <c r="E9" s="78"/>
      <c r="F9" s="79" t="s">
        <v>94</v>
      </c>
      <c r="G9" s="80" t="s">
        <v>95</v>
      </c>
      <c r="H9" s="81"/>
      <c r="I9" s="79" t="s">
        <v>94</v>
      </c>
      <c r="J9" s="80" t="s">
        <v>95</v>
      </c>
      <c r="K9" s="81"/>
      <c r="L9" s="82" t="s">
        <v>94</v>
      </c>
      <c r="M9" s="80" t="s">
        <v>95</v>
      </c>
      <c r="N9" s="81"/>
      <c r="O9" s="82" t="s">
        <v>94</v>
      </c>
      <c r="P9" s="80" t="s">
        <v>95</v>
      </c>
      <c r="R9" s="1445" t="s">
        <v>1387</v>
      </c>
      <c r="S9" s="1445"/>
    </row>
    <row r="10" spans="2:19" ht="27" customHeight="1">
      <c r="B10" s="119" t="s">
        <v>5</v>
      </c>
      <c r="C10" s="1424" t="s">
        <v>797</v>
      </c>
      <c r="D10" s="1425"/>
      <c r="E10" s="1426"/>
      <c r="F10" s="510"/>
      <c r="G10" s="510"/>
      <c r="H10" s="219"/>
      <c r="I10" s="509"/>
      <c r="J10" s="510"/>
      <c r="K10" s="221"/>
      <c r="L10" s="509"/>
      <c r="M10" s="510"/>
      <c r="N10" s="221"/>
      <c r="O10" s="509"/>
      <c r="P10" s="510"/>
      <c r="R10" s="1446" t="str">
        <f>IF(SUM($O$10:$P$10)=0, "None", IF(SUM(O10:P10)&lt;1000, "$"&amp;SUM(O10:P10)&amp;" Thousand", IF(SUM(O10:P10)&lt;1000000,"$"&amp;SUM(O10:P10)/1000&amp;" Million", IF(SUM(O10:P10)&lt;1000000000,"$"&amp;SUM(O10:P10)/1000000&amp;" Billion", "Sales Exceed One Trillion Dollars"))))</f>
        <v>None</v>
      </c>
      <c r="S10" s="1447"/>
    </row>
    <row r="11" spans="2:19" ht="27" customHeight="1" thickBot="1">
      <c r="B11" s="337"/>
      <c r="C11" s="217"/>
      <c r="D11" s="216" t="s">
        <v>796</v>
      </c>
      <c r="E11" s="218"/>
      <c r="F11" s="512"/>
      <c r="G11" s="512"/>
      <c r="H11" s="220"/>
      <c r="I11" s="511"/>
      <c r="J11" s="512"/>
      <c r="K11" s="214"/>
      <c r="L11" s="511"/>
      <c r="M11" s="512"/>
      <c r="N11" s="222"/>
      <c r="O11" s="511"/>
      <c r="P11" s="512"/>
    </row>
    <row r="12" spans="2:19" ht="8.25" customHeight="1" thickBot="1">
      <c r="B12" s="338"/>
      <c r="C12" s="215"/>
      <c r="D12" s="216"/>
      <c r="E12" s="216"/>
      <c r="F12" s="403"/>
      <c r="G12" s="403"/>
      <c r="H12" s="138"/>
      <c r="I12" s="402"/>
      <c r="J12" s="403"/>
      <c r="K12" s="138"/>
      <c r="L12" s="402"/>
      <c r="M12" s="403"/>
      <c r="N12" s="138"/>
      <c r="O12" s="402"/>
      <c r="P12" s="403"/>
    </row>
    <row r="13" spans="2:19" ht="27" customHeight="1">
      <c r="B13" s="119" t="s">
        <v>111</v>
      </c>
      <c r="C13" s="1427" t="s">
        <v>1266</v>
      </c>
      <c r="D13" s="1428"/>
      <c r="E13" s="1429"/>
      <c r="F13" s="510"/>
      <c r="G13" s="510"/>
      <c r="H13" s="219"/>
      <c r="I13" s="509"/>
      <c r="J13" s="510"/>
      <c r="K13" s="221"/>
      <c r="L13" s="509"/>
      <c r="M13" s="510"/>
      <c r="N13" s="221"/>
      <c r="O13" s="509"/>
      <c r="P13" s="510"/>
    </row>
    <row r="14" spans="2:19" ht="27" customHeight="1" thickBot="1">
      <c r="B14" s="337"/>
      <c r="C14" s="217"/>
      <c r="D14" s="216" t="s">
        <v>1264</v>
      </c>
      <c r="E14" s="218"/>
      <c r="F14" s="512"/>
      <c r="G14" s="512"/>
      <c r="H14" s="220"/>
      <c r="I14" s="511"/>
      <c r="J14" s="512"/>
      <c r="K14" s="214"/>
      <c r="L14" s="511"/>
      <c r="M14" s="512"/>
      <c r="N14" s="222"/>
      <c r="O14" s="511"/>
      <c r="P14" s="512"/>
    </row>
    <row r="15" spans="2:19" ht="8.25" customHeight="1" thickBot="1">
      <c r="B15" s="338"/>
      <c r="C15" s="215"/>
      <c r="D15" s="216"/>
      <c r="E15" s="216"/>
      <c r="F15" s="403"/>
      <c r="G15" s="403"/>
      <c r="H15" s="138"/>
      <c r="I15" s="402"/>
      <c r="J15" s="403"/>
      <c r="K15" s="138"/>
      <c r="L15" s="402"/>
      <c r="M15" s="403"/>
      <c r="N15" s="138"/>
      <c r="O15" s="402"/>
      <c r="P15" s="403"/>
    </row>
    <row r="16" spans="2:19" ht="27" customHeight="1">
      <c r="B16" s="119" t="s">
        <v>111</v>
      </c>
      <c r="C16" s="1427" t="s">
        <v>1267</v>
      </c>
      <c r="D16" s="1428"/>
      <c r="E16" s="1429"/>
      <c r="F16" s="510"/>
      <c r="G16" s="510"/>
      <c r="H16" s="219"/>
      <c r="I16" s="509"/>
      <c r="J16" s="510"/>
      <c r="K16" s="221"/>
      <c r="L16" s="509"/>
      <c r="M16" s="510"/>
      <c r="N16" s="221"/>
      <c r="O16" s="509"/>
      <c r="P16" s="510"/>
    </row>
    <row r="17" spans="2:16" ht="27" customHeight="1" thickBot="1">
      <c r="B17" s="337"/>
      <c r="C17" s="217"/>
      <c r="D17" s="216" t="s">
        <v>1265</v>
      </c>
      <c r="E17" s="218"/>
      <c r="F17" s="512"/>
      <c r="G17" s="512"/>
      <c r="H17" s="220"/>
      <c r="I17" s="511"/>
      <c r="J17" s="512"/>
      <c r="K17" s="214"/>
      <c r="L17" s="511"/>
      <c r="M17" s="512"/>
      <c r="N17" s="222"/>
      <c r="O17" s="511"/>
      <c r="P17" s="512"/>
    </row>
    <row r="18" spans="2:16" ht="27" customHeight="1">
      <c r="B18" s="1430" t="s">
        <v>48</v>
      </c>
      <c r="C18" s="1431"/>
      <c r="D18" s="1431"/>
      <c r="E18" s="1432"/>
      <c r="F18" s="1433"/>
      <c r="G18" s="1433"/>
      <c r="H18" s="1433"/>
      <c r="I18" s="1433"/>
      <c r="J18" s="1433"/>
      <c r="K18" s="1433"/>
      <c r="L18" s="1433"/>
      <c r="M18" s="1433"/>
      <c r="N18" s="1433"/>
      <c r="O18" s="1433"/>
      <c r="P18" s="1434"/>
    </row>
    <row r="19" spans="2:16">
      <c r="B19" s="83"/>
      <c r="C19" s="84"/>
      <c r="D19" s="84"/>
      <c r="E19" s="84"/>
      <c r="F19" s="84"/>
      <c r="G19" s="84"/>
      <c r="H19" s="84"/>
      <c r="I19" s="84"/>
      <c r="J19" s="84"/>
      <c r="K19" s="84"/>
      <c r="L19" s="84"/>
      <c r="M19" s="84"/>
      <c r="N19" s="84"/>
      <c r="O19" s="84"/>
      <c r="P19" s="85"/>
    </row>
    <row r="20" spans="2:16" ht="13.5" thickBot="1">
      <c r="B20" s="672" t="s">
        <v>4</v>
      </c>
      <c r="C20" s="673"/>
      <c r="D20" s="673"/>
      <c r="E20" s="673"/>
      <c r="F20" s="673"/>
      <c r="G20" s="673"/>
      <c r="H20" s="673"/>
      <c r="I20" s="673"/>
      <c r="J20" s="673"/>
      <c r="K20" s="673"/>
      <c r="L20" s="673"/>
      <c r="M20" s="673"/>
      <c r="N20" s="673"/>
      <c r="O20" s="673"/>
      <c r="P20" s="674"/>
    </row>
    <row r="36" spans="9:9">
      <c r="I36" s="48" t="s">
        <v>798</v>
      </c>
    </row>
  </sheetData>
  <sheetProtection password="C288" sheet="1"/>
  <mergeCells count="22">
    <mergeCell ref="R8:S8"/>
    <mergeCell ref="R9:S9"/>
    <mergeCell ref="R10:S10"/>
    <mergeCell ref="D6:F6"/>
    <mergeCell ref="G5:L5"/>
    <mergeCell ref="G6:L6"/>
    <mergeCell ref="F2:K2"/>
    <mergeCell ref="B18:D18"/>
    <mergeCell ref="E18:P18"/>
    <mergeCell ref="D5:F5"/>
    <mergeCell ref="B2:D2"/>
    <mergeCell ref="B3:P3"/>
    <mergeCell ref="B4:P4"/>
    <mergeCell ref="L8:M8"/>
    <mergeCell ref="F8:G8"/>
    <mergeCell ref="B20:P20"/>
    <mergeCell ref="I8:J8"/>
    <mergeCell ref="O8:P8"/>
    <mergeCell ref="F7:P7"/>
    <mergeCell ref="C10:E10"/>
    <mergeCell ref="C13:E13"/>
    <mergeCell ref="C16:E16"/>
  </mergeCells>
  <dataValidations count="3">
    <dataValidation type="whole" operator="greaterThanOrEqual" allowBlank="1" showInputMessage="1" showErrorMessage="1" sqref="F13:P13 F16:P16 F10:P10">
      <formula1>0</formula1>
    </dataValidation>
    <dataValidation type="list" allowBlank="1" showInputMessage="1" showErrorMessage="1" sqref="G5:L5">
      <formula1>Level</formula1>
    </dataValidation>
    <dataValidation type="list" allowBlank="1" showInputMessage="1" showErrorMessage="1" sqref="G6:L6">
      <formula1>YearType</formula1>
    </dataValidation>
  </dataValidations>
  <hyperlinks>
    <hyperlink ref="B2:D2" location="'6d'!A1" tooltip="Materials &amp; Equipment (continued)" display="Previous Page"/>
    <hyperlink ref="P2" location="'8'!A1" tooltip="Financials" display="Next Page"/>
    <hyperlink ref="F2:H2" location="'Table of Contents'!A1" tooltip="Table of Contents" display="Table of Contents"/>
  </hyperlinks>
  <pageMargins left="0.25" right="0.25" top="0.75" bottom="0.75" header="0.3" footer="0.3"/>
  <pageSetup scale="80" orientation="landscape" cellComments="atEnd" r:id="rId1"/>
  <headerFooter>
    <oddHeader>&amp;F</oddHead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9"/>
  <sheetViews>
    <sheetView showGridLines="0" showRowColHeaders="0" zoomScaleNormal="100" workbookViewId="0"/>
  </sheetViews>
  <sheetFormatPr defaultColWidth="8.85546875" defaultRowHeight="12.75"/>
  <cols>
    <col min="1" max="1" width="8.5703125" style="48" customWidth="1"/>
    <col min="2" max="2" width="3.7109375" style="48" customWidth="1"/>
    <col min="3" max="4" width="17.7109375" style="48" customWidth="1"/>
    <col min="5" max="8" width="14.28515625" style="48" customWidth="1"/>
    <col min="9" max="9" width="8.85546875" style="48"/>
    <col min="10" max="11" width="9.85546875" style="48" customWidth="1"/>
    <col min="12" max="16384" width="8.85546875" style="48"/>
  </cols>
  <sheetData>
    <row r="1" spans="2:12" ht="13.5" customHeight="1" thickBot="1">
      <c r="J1" s="84"/>
    </row>
    <row r="2" spans="2:12" ht="13.5" customHeight="1" thickBot="1">
      <c r="B2" s="655" t="s">
        <v>487</v>
      </c>
      <c r="C2" s="656"/>
      <c r="D2" s="15"/>
      <c r="E2" s="657" t="s">
        <v>1204</v>
      </c>
      <c r="F2" s="657"/>
      <c r="G2" s="15"/>
      <c r="H2" s="113" t="s">
        <v>486</v>
      </c>
      <c r="I2" s="83"/>
      <c r="J2" s="84"/>
      <c r="K2" s="84"/>
    </row>
    <row r="3" spans="2:12" ht="13.5" customHeight="1">
      <c r="B3" s="1437" t="s">
        <v>799</v>
      </c>
      <c r="C3" s="1438"/>
      <c r="D3" s="1438"/>
      <c r="E3" s="1438"/>
      <c r="F3" s="1438"/>
      <c r="G3" s="1438"/>
      <c r="H3" s="1439"/>
      <c r="J3" s="84"/>
    </row>
    <row r="4" spans="2:12" ht="57" customHeight="1" thickBot="1">
      <c r="B4" s="1486" t="s">
        <v>1329</v>
      </c>
      <c r="C4" s="1487"/>
      <c r="D4" s="1487"/>
      <c r="E4" s="1487"/>
      <c r="F4" s="1487"/>
      <c r="G4" s="1487"/>
      <c r="H4" s="1488"/>
      <c r="I4" s="104"/>
      <c r="J4" s="105"/>
      <c r="K4" s="105"/>
      <c r="L4" s="105"/>
    </row>
    <row r="5" spans="2:12">
      <c r="B5" s="1465" t="s">
        <v>508</v>
      </c>
      <c r="C5" s="1466"/>
      <c r="D5" s="1466"/>
      <c r="E5" s="1470"/>
      <c r="F5" s="1471"/>
      <c r="G5" s="1471"/>
      <c r="H5" s="1472"/>
    </row>
    <row r="6" spans="2:12" ht="13.5" thickBot="1">
      <c r="B6" s="1467" t="s">
        <v>54</v>
      </c>
      <c r="C6" s="1468"/>
      <c r="D6" s="1468"/>
      <c r="E6" s="1477"/>
      <c r="F6" s="1478"/>
      <c r="G6" s="1478"/>
      <c r="H6" s="1479"/>
    </row>
    <row r="7" spans="2:12" ht="15" customHeight="1">
      <c r="B7" s="1461" t="s">
        <v>63</v>
      </c>
      <c r="C7" s="1462"/>
      <c r="D7" s="1462"/>
      <c r="E7" s="1480" t="s">
        <v>101</v>
      </c>
      <c r="F7" s="1481"/>
      <c r="G7" s="1481"/>
      <c r="H7" s="1482"/>
      <c r="J7" s="1443" t="s">
        <v>1386</v>
      </c>
      <c r="K7" s="1444"/>
    </row>
    <row r="8" spans="2:12">
      <c r="B8" s="1463"/>
      <c r="C8" s="1464"/>
      <c r="D8" s="1464"/>
      <c r="E8" s="334">
        <v>2012</v>
      </c>
      <c r="F8" s="334">
        <v>2013</v>
      </c>
      <c r="G8" s="98">
        <v>2014</v>
      </c>
      <c r="H8" s="99">
        <v>2015</v>
      </c>
      <c r="J8" s="1445" t="s">
        <v>1389</v>
      </c>
      <c r="K8" s="1445"/>
    </row>
    <row r="9" spans="2:12">
      <c r="B9" s="335" t="s">
        <v>5</v>
      </c>
      <c r="C9" s="1458" t="s">
        <v>64</v>
      </c>
      <c r="D9" s="1456"/>
      <c r="E9" s="513"/>
      <c r="F9" s="513"/>
      <c r="G9" s="513"/>
      <c r="H9" s="514"/>
      <c r="J9" s="1446" t="str">
        <f>IF(SUM($H9)=0, "None", IF(SUM(H9)&lt;1000, "$"&amp;SUM(H9)&amp;" Thousand", IF(SUM(H9)&lt;1000000,"$"&amp;SUM(H9)/1000&amp;" Million", IF(SUM(H9)&lt;1000000000,"$"&amp;SUM(H9)/1000000&amp;" Billion", "Sales Exceed One Trillion Dollars"))))</f>
        <v>None</v>
      </c>
      <c r="K9" s="1447"/>
    </row>
    <row r="10" spans="2:12">
      <c r="B10" s="335" t="s">
        <v>6</v>
      </c>
      <c r="C10" s="1456" t="s">
        <v>65</v>
      </c>
      <c r="D10" s="1457"/>
      <c r="E10" s="513"/>
      <c r="F10" s="513"/>
      <c r="G10" s="513"/>
      <c r="H10" s="514"/>
    </row>
    <row r="11" spans="2:12">
      <c r="B11" s="335" t="s">
        <v>7</v>
      </c>
      <c r="C11" s="1456" t="s">
        <v>66</v>
      </c>
      <c r="D11" s="1457"/>
      <c r="E11" s="513"/>
      <c r="F11" s="513"/>
      <c r="G11" s="513"/>
      <c r="H11" s="514"/>
    </row>
    <row r="12" spans="2:12">
      <c r="B12" s="335" t="s">
        <v>8</v>
      </c>
      <c r="C12" s="1458" t="s">
        <v>67</v>
      </c>
      <c r="D12" s="1456"/>
      <c r="E12" s="513"/>
      <c r="F12" s="513"/>
      <c r="G12" s="513"/>
      <c r="H12" s="514"/>
    </row>
    <row r="13" spans="2:12" ht="13.5" thickBot="1">
      <c r="B13" s="338" t="s">
        <v>9</v>
      </c>
      <c r="C13" s="1459" t="s">
        <v>68</v>
      </c>
      <c r="D13" s="1460"/>
      <c r="E13" s="515"/>
      <c r="F13" s="515"/>
      <c r="G13" s="515"/>
      <c r="H13" s="516"/>
    </row>
    <row r="14" spans="2:12" ht="12.75" customHeight="1">
      <c r="B14" s="1465" t="s">
        <v>509</v>
      </c>
      <c r="C14" s="1466"/>
      <c r="D14" s="1466"/>
      <c r="E14" s="1470"/>
      <c r="F14" s="1471"/>
      <c r="G14" s="1471"/>
      <c r="H14" s="1472"/>
    </row>
    <row r="15" spans="2:12" ht="13.5" thickBot="1">
      <c r="B15" s="1467" t="s">
        <v>54</v>
      </c>
      <c r="C15" s="1468"/>
      <c r="D15" s="1469"/>
      <c r="E15" s="1477"/>
      <c r="F15" s="1478"/>
      <c r="G15" s="1478"/>
      <c r="H15" s="1479"/>
    </row>
    <row r="16" spans="2:12" ht="15" customHeight="1">
      <c r="B16" s="1461" t="s">
        <v>69</v>
      </c>
      <c r="C16" s="1462"/>
      <c r="D16" s="1462"/>
      <c r="E16" s="1480" t="s">
        <v>101</v>
      </c>
      <c r="F16" s="1481"/>
      <c r="G16" s="1481"/>
      <c r="H16" s="1482"/>
    </row>
    <row r="17" spans="2:8">
      <c r="B17" s="1463"/>
      <c r="C17" s="1464"/>
      <c r="D17" s="1464"/>
      <c r="E17" s="334">
        <v>2012</v>
      </c>
      <c r="F17" s="334">
        <v>2013</v>
      </c>
      <c r="G17" s="98">
        <v>2014</v>
      </c>
      <c r="H17" s="99">
        <v>2015</v>
      </c>
    </row>
    <row r="18" spans="2:8">
      <c r="B18" s="335" t="s">
        <v>5</v>
      </c>
      <c r="C18" s="1458" t="s">
        <v>70</v>
      </c>
      <c r="D18" s="1456"/>
      <c r="E18" s="517"/>
      <c r="F18" s="517"/>
      <c r="G18" s="517"/>
      <c r="H18" s="518"/>
    </row>
    <row r="19" spans="2:8">
      <c r="B19" s="335" t="s">
        <v>6</v>
      </c>
      <c r="C19" s="1458" t="s">
        <v>71</v>
      </c>
      <c r="D19" s="1456"/>
      <c r="E19" s="517"/>
      <c r="F19" s="517"/>
      <c r="G19" s="517"/>
      <c r="H19" s="518"/>
    </row>
    <row r="20" spans="2:8">
      <c r="B20" s="335" t="s">
        <v>7</v>
      </c>
      <c r="C20" s="1456" t="s">
        <v>72</v>
      </c>
      <c r="D20" s="1457"/>
      <c r="E20" s="517"/>
      <c r="F20" s="517"/>
      <c r="G20" s="517"/>
      <c r="H20" s="518"/>
    </row>
    <row r="21" spans="2:8">
      <c r="B21" s="335" t="s">
        <v>8</v>
      </c>
      <c r="C21" s="1456" t="s">
        <v>73</v>
      </c>
      <c r="D21" s="1457"/>
      <c r="E21" s="517"/>
      <c r="F21" s="517"/>
      <c r="G21" s="517"/>
      <c r="H21" s="518"/>
    </row>
    <row r="22" spans="2:8">
      <c r="B22" s="335" t="s">
        <v>9</v>
      </c>
      <c r="C22" s="1456" t="s">
        <v>74</v>
      </c>
      <c r="D22" s="1457"/>
      <c r="E22" s="517"/>
      <c r="F22" s="517"/>
      <c r="G22" s="517"/>
      <c r="H22" s="518"/>
    </row>
    <row r="23" spans="2:8">
      <c r="B23" s="335" t="s">
        <v>10</v>
      </c>
      <c r="C23" s="1456" t="s">
        <v>75</v>
      </c>
      <c r="D23" s="1457"/>
      <c r="E23" s="517"/>
      <c r="F23" s="517"/>
      <c r="G23" s="517"/>
      <c r="H23" s="518"/>
    </row>
    <row r="24" spans="2:8">
      <c r="B24" s="119" t="s">
        <v>11</v>
      </c>
      <c r="C24" s="1456" t="s">
        <v>76</v>
      </c>
      <c r="D24" s="1457"/>
      <c r="E24" s="517"/>
      <c r="F24" s="517"/>
      <c r="G24" s="517"/>
      <c r="H24" s="518"/>
    </row>
    <row r="25" spans="2:8" ht="13.5" thickBot="1">
      <c r="B25" s="337" t="s">
        <v>77</v>
      </c>
      <c r="C25" s="1475" t="s">
        <v>78</v>
      </c>
      <c r="D25" s="1476"/>
      <c r="E25" s="519"/>
      <c r="F25" s="519"/>
      <c r="G25" s="519"/>
      <c r="H25" s="520"/>
    </row>
    <row r="26" spans="2:8" ht="20.25" customHeight="1" thickBot="1">
      <c r="B26" s="1483" t="s">
        <v>1390</v>
      </c>
      <c r="C26" s="1484"/>
      <c r="D26" s="1484"/>
      <c r="E26" s="1484"/>
      <c r="F26" s="1484"/>
      <c r="G26" s="1484"/>
      <c r="H26" s="1485"/>
    </row>
    <row r="27" spans="2:8" ht="27" customHeight="1">
      <c r="B27" s="1473" t="s">
        <v>48</v>
      </c>
      <c r="C27" s="1474"/>
      <c r="D27" s="833"/>
      <c r="E27" s="834"/>
      <c r="F27" s="834"/>
      <c r="G27" s="834"/>
      <c r="H27" s="835"/>
    </row>
    <row r="28" spans="2:8">
      <c r="B28" s="83"/>
      <c r="C28" s="84"/>
      <c r="D28" s="84"/>
      <c r="E28" s="84"/>
      <c r="F28" s="84"/>
      <c r="G28" s="84"/>
      <c r="H28" s="85"/>
    </row>
    <row r="29" spans="2:8" ht="13.5" thickBot="1">
      <c r="B29" s="672" t="s">
        <v>4</v>
      </c>
      <c r="C29" s="673"/>
      <c r="D29" s="673"/>
      <c r="E29" s="673"/>
      <c r="F29" s="673"/>
      <c r="G29" s="673"/>
      <c r="H29" s="674"/>
    </row>
  </sheetData>
  <sheetProtection password="C288" sheet="1"/>
  <mergeCells count="36">
    <mergeCell ref="J7:K7"/>
    <mergeCell ref="J8:K8"/>
    <mergeCell ref="J9:K9"/>
    <mergeCell ref="B26:H26"/>
    <mergeCell ref="B2:C2"/>
    <mergeCell ref="B3:H3"/>
    <mergeCell ref="B4:H4"/>
    <mergeCell ref="B5:D5"/>
    <mergeCell ref="B6:D6"/>
    <mergeCell ref="E14:H14"/>
    <mergeCell ref="E6:H6"/>
    <mergeCell ref="C10:D10"/>
    <mergeCell ref="E7:H7"/>
    <mergeCell ref="E16:H16"/>
    <mergeCell ref="C11:D11"/>
    <mergeCell ref="B7:D8"/>
    <mergeCell ref="C12:D12"/>
    <mergeCell ref="E15:H15"/>
    <mergeCell ref="B29:H29"/>
    <mergeCell ref="C21:D21"/>
    <mergeCell ref="C22:D22"/>
    <mergeCell ref="C23:D23"/>
    <mergeCell ref="C24:D24"/>
    <mergeCell ref="B27:C27"/>
    <mergeCell ref="D27:H27"/>
    <mergeCell ref="C25:D25"/>
    <mergeCell ref="E2:F2"/>
    <mergeCell ref="C20:D20"/>
    <mergeCell ref="C18:D18"/>
    <mergeCell ref="C19:D19"/>
    <mergeCell ref="C13:D13"/>
    <mergeCell ref="B16:D17"/>
    <mergeCell ref="B14:D14"/>
    <mergeCell ref="B15:D15"/>
    <mergeCell ref="C9:D9"/>
    <mergeCell ref="E5:H5"/>
  </mergeCells>
  <conditionalFormatting sqref="E18:H25">
    <cfRule type="expression" dxfId="23" priority="6" stopIfTrue="1">
      <formula>IF(E18&lt;0, TRUE, FALSE)</formula>
    </cfRule>
  </conditionalFormatting>
  <conditionalFormatting sqref="F9:F13">
    <cfRule type="expression" dxfId="22" priority="5" stopIfTrue="1">
      <formula>IF(F9&lt;0, TRUE, FALSE)</formula>
    </cfRule>
  </conditionalFormatting>
  <conditionalFormatting sqref="G9:G13">
    <cfRule type="expression" dxfId="21" priority="4" stopIfTrue="1">
      <formula>IF(G9&lt;0, TRUE, FALSE)</formula>
    </cfRule>
  </conditionalFormatting>
  <conditionalFormatting sqref="H9:H13">
    <cfRule type="expression" dxfId="20" priority="3" stopIfTrue="1">
      <formula>IF(H9&lt;0, TRUE, FALSE)</formula>
    </cfRule>
  </conditionalFormatting>
  <conditionalFormatting sqref="E9:E13">
    <cfRule type="expression" dxfId="19" priority="2" stopIfTrue="1">
      <formula>IF(E9&lt;0, TRUE, FALSE)</formula>
    </cfRule>
  </conditionalFormatting>
  <conditionalFormatting sqref="B26">
    <cfRule type="expression" dxfId="18" priority="1" stopIfTrue="1">
      <formula>IF(AND(NOT(ISBLANK($E$21)), NOT(ISBLANK($E$23)), NOT(ISBLANK($E$25))), IF(SUM($E$21:$H$21)&lt;&gt;SUM($E$23:$H$23,$E$25:$H$25), TRUE, FALSE))</formula>
    </cfRule>
  </conditionalFormatting>
  <dataValidations count="5">
    <dataValidation type="decimal" allowBlank="1" showInputMessage="1" showErrorMessage="1" sqref="E9:H13 E18:H25">
      <formula1>-9999999999999990</formula1>
      <formula2>99999999999999900</formula2>
    </dataValidation>
    <dataValidation type="list" allowBlank="1" showInputMessage="1" showErrorMessage="1" sqref="F65534:H65534">
      <formula1>DataType</formula1>
    </dataValidation>
    <dataValidation type="list" allowBlank="1" showInputMessage="1" showErrorMessage="1" sqref="F65533:H65533">
      <formula1>Reporting</formula1>
    </dataValidation>
    <dataValidation type="list" allowBlank="1" showInputMessage="1" showErrorMessage="1" sqref="E5:H5 E14:H14">
      <formula1>Level</formula1>
    </dataValidation>
    <dataValidation type="list" allowBlank="1" showInputMessage="1" showErrorMessage="1" sqref="E6:H6 E15:H15">
      <formula1>YearType</formula1>
    </dataValidation>
  </dataValidations>
  <hyperlinks>
    <hyperlink ref="B2:C2" location="'7'!A1" tooltip="Sales" display="Previous Page"/>
    <hyperlink ref="E2" location="'Table of Contents'!A1" tooltip="Table of Contents" display="Table of Contents"/>
    <hyperlink ref="H2" location="'9a'!A1" tooltip="Research &amp; Development" display="Next Page"/>
  </hyperlinks>
  <pageMargins left="0.25" right="0.25" top="0.75" bottom="0.75" header="0.3" footer="0.3"/>
  <pageSetup orientation="landscape" cellComments="atEnd" r:id="rId1"/>
  <headerFooter>
    <oddHeader>&amp;F</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showRowColHeaders="0" zoomScaleNormal="100" workbookViewId="0"/>
  </sheetViews>
  <sheetFormatPr defaultColWidth="8.85546875" defaultRowHeight="12.75"/>
  <cols>
    <col min="1" max="1" width="8.5703125" style="48" customWidth="1"/>
    <col min="2" max="3" width="3.7109375" style="48" customWidth="1"/>
    <col min="4" max="4" width="17.42578125" style="48" customWidth="1"/>
    <col min="5" max="5" width="49.5703125" style="48" customWidth="1"/>
    <col min="6" max="9" width="14.28515625" style="48" customWidth="1"/>
    <col min="10" max="16384" width="8.85546875" style="48"/>
  </cols>
  <sheetData>
    <row r="1" spans="2:13" ht="13.5" customHeight="1" thickBot="1"/>
    <row r="2" spans="2:13" ht="13.5" customHeight="1" thickBot="1">
      <c r="B2" s="655" t="s">
        <v>487</v>
      </c>
      <c r="C2" s="656"/>
      <c r="D2" s="656"/>
      <c r="E2" s="657" t="s">
        <v>1204</v>
      </c>
      <c r="F2" s="657"/>
      <c r="G2" s="657"/>
      <c r="H2" s="657"/>
      <c r="I2" s="113" t="s">
        <v>486</v>
      </c>
      <c r="J2" s="83"/>
    </row>
    <row r="3" spans="2:13" ht="13.5" customHeight="1" thickBot="1">
      <c r="B3" s="1437" t="s">
        <v>800</v>
      </c>
      <c r="C3" s="1438"/>
      <c r="D3" s="1438"/>
      <c r="E3" s="1438"/>
      <c r="F3" s="1438"/>
      <c r="G3" s="1438"/>
      <c r="H3" s="1438"/>
      <c r="I3" s="1439"/>
      <c r="J3" s="83"/>
    </row>
    <row r="4" spans="2:13" ht="30" customHeight="1" thickBot="1">
      <c r="B4" s="111" t="s">
        <v>5</v>
      </c>
      <c r="C4" s="1511" t="s">
        <v>1170</v>
      </c>
      <c r="D4" s="1512"/>
      <c r="E4" s="1513"/>
      <c r="F4" s="521"/>
      <c r="G4" s="1503" t="s">
        <v>801</v>
      </c>
      <c r="H4" s="1504"/>
      <c r="I4" s="1505"/>
    </row>
    <row r="5" spans="2:13" ht="61.5" customHeight="1">
      <c r="B5" s="1440" t="s">
        <v>1330</v>
      </c>
      <c r="C5" s="1428"/>
      <c r="D5" s="1428"/>
      <c r="E5" s="1428"/>
      <c r="F5" s="1441"/>
      <c r="G5" s="1441"/>
      <c r="H5" s="1441"/>
      <c r="I5" s="1442"/>
      <c r="J5" s="267"/>
      <c r="K5" s="105"/>
      <c r="L5" s="105"/>
      <c r="M5" s="105"/>
    </row>
    <row r="6" spans="2:13">
      <c r="B6" s="1516" t="s">
        <v>942</v>
      </c>
      <c r="C6" s="1517"/>
      <c r="D6" s="1517"/>
      <c r="E6" s="1518"/>
      <c r="F6" s="907"/>
      <c r="G6" s="907"/>
      <c r="H6" s="907"/>
      <c r="I6" s="1519"/>
      <c r="J6" s="267"/>
      <c r="K6" s="1520" t="str">
        <f>IF(NOT(ISBLANK($F$6)), IF($F$6&lt;&gt;"facility", "facility-based data is STRONGLY preferred.", ""), "")</f>
        <v/>
      </c>
      <c r="L6" s="1520"/>
      <c r="M6" s="1520"/>
    </row>
    <row r="7" spans="2:13" ht="13.5" thickBot="1">
      <c r="B7" s="79"/>
      <c r="C7" s="89"/>
      <c r="D7" s="81"/>
      <c r="E7" s="90" t="s">
        <v>54</v>
      </c>
      <c r="F7" s="1477"/>
      <c r="G7" s="1478"/>
      <c r="H7" s="1478"/>
      <c r="I7" s="1479"/>
      <c r="J7" s="118"/>
      <c r="K7" s="1520"/>
      <c r="L7" s="1520"/>
      <c r="M7" s="1520"/>
    </row>
    <row r="8" spans="2:13">
      <c r="B8" s="1506" t="s">
        <v>6</v>
      </c>
      <c r="C8" s="93"/>
      <c r="D8" s="94"/>
      <c r="E8" s="95"/>
      <c r="F8" s="1521" t="s">
        <v>101</v>
      </c>
      <c r="G8" s="1521"/>
      <c r="H8" s="1521"/>
      <c r="I8" s="1522"/>
      <c r="K8" s="1520"/>
      <c r="L8" s="1520"/>
      <c r="M8" s="1520"/>
    </row>
    <row r="9" spans="2:13">
      <c r="B9" s="1507"/>
      <c r="C9" s="91"/>
      <c r="D9" s="92"/>
      <c r="E9" s="336"/>
      <c r="F9" s="136">
        <v>2012</v>
      </c>
      <c r="G9" s="136">
        <v>2013</v>
      </c>
      <c r="H9" s="136">
        <v>2014</v>
      </c>
      <c r="I9" s="137">
        <v>2015</v>
      </c>
      <c r="J9" s="76"/>
      <c r="K9" s="1520"/>
      <c r="L9" s="1520"/>
      <c r="M9" s="1520"/>
    </row>
    <row r="10" spans="2:13" s="97" customFormat="1" ht="15" customHeight="1" thickBot="1">
      <c r="B10" s="1507"/>
      <c r="C10" s="139">
        <v>1</v>
      </c>
      <c r="D10" s="1495" t="s">
        <v>102</v>
      </c>
      <c r="E10" s="1496"/>
      <c r="F10" s="522"/>
      <c r="G10" s="522"/>
      <c r="H10" s="522"/>
      <c r="I10" s="516"/>
      <c r="K10" s="1443" t="s">
        <v>1386</v>
      </c>
      <c r="L10" s="1444"/>
    </row>
    <row r="11" spans="2:13" s="97" customFormat="1" ht="27" customHeight="1">
      <c r="B11" s="1507"/>
      <c r="C11" s="140">
        <v>2</v>
      </c>
      <c r="D11" s="1523" t="s">
        <v>524</v>
      </c>
      <c r="E11" s="1524"/>
      <c r="F11" s="523"/>
      <c r="G11" s="523"/>
      <c r="H11" s="523"/>
      <c r="I11" s="524"/>
      <c r="K11" s="1525" t="s">
        <v>1391</v>
      </c>
      <c r="L11" s="1526"/>
    </row>
    <row r="12" spans="2:13" s="97" customFormat="1" ht="27" customHeight="1">
      <c r="B12" s="1507"/>
      <c r="C12" s="141">
        <v>3</v>
      </c>
      <c r="D12" s="1514" t="s">
        <v>525</v>
      </c>
      <c r="E12" s="1515"/>
      <c r="F12" s="525"/>
      <c r="G12" s="525"/>
      <c r="H12" s="525"/>
      <c r="I12" s="526"/>
      <c r="K12" s="1527" t="str">
        <f>IF(I10=0, "None", IF(I10&lt;1000, "$"&amp;I10&amp;" Thousand", IF(I10&lt;1000000,"$"&amp;I10/1000&amp;" Million", IF(I10&lt;1000000000,"$"&amp;I10/1000000&amp;" Billion", "Exceed One Trillion Dollars"))))</f>
        <v>None</v>
      </c>
      <c r="L12" s="1527"/>
    </row>
    <row r="13" spans="2:13" s="97" customFormat="1" ht="27" customHeight="1" thickBot="1">
      <c r="B13" s="1507"/>
      <c r="C13" s="139">
        <v>4</v>
      </c>
      <c r="D13" s="1495" t="s">
        <v>526</v>
      </c>
      <c r="E13" s="1496"/>
      <c r="F13" s="527"/>
      <c r="G13" s="527"/>
      <c r="H13" s="527"/>
      <c r="I13" s="528"/>
    </row>
    <row r="14" spans="2:13" s="97" customFormat="1" ht="15" customHeight="1" thickBot="1">
      <c r="B14" s="1507"/>
      <c r="C14" s="142">
        <v>5</v>
      </c>
      <c r="D14" s="1509" t="s">
        <v>103</v>
      </c>
      <c r="E14" s="1510"/>
      <c r="F14" s="23">
        <f>SUM(F11:F13)</f>
        <v>0</v>
      </c>
      <c r="G14" s="23">
        <f>SUM(G11:G13)</f>
        <v>0</v>
      </c>
      <c r="H14" s="23">
        <f>SUM(H11:H13)</f>
        <v>0</v>
      </c>
      <c r="I14" s="24">
        <f>SUM(I11:I13)</f>
        <v>0</v>
      </c>
    </row>
    <row r="15" spans="2:13" s="97" customFormat="1" ht="27" customHeight="1">
      <c r="B15" s="1507"/>
      <c r="C15" s="141">
        <v>6</v>
      </c>
      <c r="D15" s="1514" t="s">
        <v>1268</v>
      </c>
      <c r="E15" s="1515"/>
      <c r="F15" s="525"/>
      <c r="G15" s="525"/>
      <c r="H15" s="525"/>
      <c r="I15" s="526"/>
    </row>
    <row r="16" spans="2:13" s="97" customFormat="1" ht="27" customHeight="1" thickBot="1">
      <c r="B16" s="1508"/>
      <c r="C16" s="139">
        <v>7</v>
      </c>
      <c r="D16" s="1495" t="s">
        <v>1269</v>
      </c>
      <c r="E16" s="1496"/>
      <c r="F16" s="527"/>
      <c r="G16" s="527"/>
      <c r="H16" s="527"/>
      <c r="I16" s="528"/>
    </row>
    <row r="17" spans="2:10">
      <c r="B17" s="1461" t="s">
        <v>7</v>
      </c>
      <c r="C17" s="93"/>
      <c r="D17" s="94"/>
      <c r="E17" s="95"/>
      <c r="F17" s="1490" t="s">
        <v>101</v>
      </c>
      <c r="G17" s="1490"/>
      <c r="H17" s="1490"/>
      <c r="I17" s="1491"/>
    </row>
    <row r="18" spans="2:10">
      <c r="B18" s="1463"/>
      <c r="C18" s="91"/>
      <c r="D18" s="92"/>
      <c r="E18" s="96"/>
      <c r="F18" s="334">
        <v>2012</v>
      </c>
      <c r="G18" s="334">
        <v>2013</v>
      </c>
      <c r="H18" s="334">
        <v>2014</v>
      </c>
      <c r="I18" s="99">
        <v>2015</v>
      </c>
    </row>
    <row r="19" spans="2:10" ht="13.5" thickBot="1">
      <c r="B19" s="1463"/>
      <c r="C19" s="139">
        <v>1</v>
      </c>
      <c r="D19" s="1459" t="s">
        <v>104</v>
      </c>
      <c r="E19" s="1460"/>
      <c r="F19" s="522"/>
      <c r="G19" s="522"/>
      <c r="H19" s="522"/>
      <c r="I19" s="516"/>
      <c r="J19" s="76"/>
    </row>
    <row r="20" spans="2:10">
      <c r="B20" s="1463"/>
      <c r="C20" s="140">
        <v>2</v>
      </c>
      <c r="D20" s="1492" t="s">
        <v>527</v>
      </c>
      <c r="E20" s="1493"/>
      <c r="F20" s="523"/>
      <c r="G20" s="523"/>
      <c r="H20" s="523"/>
      <c r="I20" s="524"/>
    </row>
    <row r="21" spans="2:10">
      <c r="B21" s="1463"/>
      <c r="C21" s="141">
        <v>3</v>
      </c>
      <c r="D21" s="1458" t="s">
        <v>528</v>
      </c>
      <c r="E21" s="1456"/>
      <c r="F21" s="525"/>
      <c r="G21" s="525"/>
      <c r="H21" s="525"/>
      <c r="I21" s="526"/>
    </row>
    <row r="22" spans="2:10">
      <c r="B22" s="1463"/>
      <c r="C22" s="141">
        <v>4</v>
      </c>
      <c r="D22" s="1458" t="s">
        <v>529</v>
      </c>
      <c r="E22" s="1456"/>
      <c r="F22" s="525"/>
      <c r="G22" s="525"/>
      <c r="H22" s="525"/>
      <c r="I22" s="526"/>
    </row>
    <row r="23" spans="2:10">
      <c r="B23" s="1463"/>
      <c r="C23" s="141">
        <v>5</v>
      </c>
      <c r="D23" s="1458" t="s">
        <v>530</v>
      </c>
      <c r="E23" s="1456"/>
      <c r="F23" s="525"/>
      <c r="G23" s="525"/>
      <c r="H23" s="525"/>
      <c r="I23" s="526"/>
    </row>
    <row r="24" spans="2:10">
      <c r="B24" s="1463"/>
      <c r="C24" s="141">
        <v>6</v>
      </c>
      <c r="D24" s="1458" t="s">
        <v>531</v>
      </c>
      <c r="E24" s="1456"/>
      <c r="F24" s="525"/>
      <c r="G24" s="525"/>
      <c r="H24" s="525"/>
      <c r="I24" s="526"/>
    </row>
    <row r="25" spans="2:10">
      <c r="B25" s="1463"/>
      <c r="C25" s="141">
        <v>7</v>
      </c>
      <c r="D25" s="1458" t="s">
        <v>532</v>
      </c>
      <c r="E25" s="1494"/>
      <c r="F25" s="525"/>
      <c r="G25" s="525"/>
      <c r="H25" s="525"/>
      <c r="I25" s="526"/>
    </row>
    <row r="26" spans="2:10" ht="13.5" thickBot="1">
      <c r="B26" s="1489"/>
      <c r="C26" s="139">
        <v>8</v>
      </c>
      <c r="D26" s="266" t="s">
        <v>107</v>
      </c>
      <c r="E26" s="436" t="s">
        <v>405</v>
      </c>
      <c r="F26" s="529"/>
      <c r="G26" s="529"/>
      <c r="H26" s="529"/>
      <c r="I26" s="530"/>
    </row>
    <row r="27" spans="2:10" ht="27" customHeight="1">
      <c r="B27" s="1497" t="s">
        <v>48</v>
      </c>
      <c r="C27" s="1498"/>
      <c r="D27" s="1499"/>
      <c r="E27" s="1500"/>
      <c r="F27" s="1501"/>
      <c r="G27" s="1501"/>
      <c r="H27" s="1501"/>
      <c r="I27" s="1502"/>
    </row>
    <row r="28" spans="2:10">
      <c r="B28" s="83"/>
      <c r="C28" s="84"/>
      <c r="D28" s="84"/>
      <c r="E28" s="84"/>
      <c r="F28" s="84"/>
      <c r="G28" s="84"/>
      <c r="H28" s="84"/>
      <c r="I28" s="85"/>
    </row>
    <row r="29" spans="2:10" ht="13.5" thickBot="1">
      <c r="B29" s="672" t="s">
        <v>4</v>
      </c>
      <c r="C29" s="673"/>
      <c r="D29" s="673"/>
      <c r="E29" s="673"/>
      <c r="F29" s="673"/>
      <c r="G29" s="673"/>
      <c r="H29" s="673"/>
      <c r="I29" s="674"/>
    </row>
  </sheetData>
  <sheetProtection password="C288" sheet="1"/>
  <mergeCells count="34">
    <mergeCell ref="D16:E16"/>
    <mergeCell ref="F8:I8"/>
    <mergeCell ref="D10:E10"/>
    <mergeCell ref="D11:E11"/>
    <mergeCell ref="D12:E12"/>
    <mergeCell ref="K10:L10"/>
    <mergeCell ref="K11:L11"/>
    <mergeCell ref="K12:L12"/>
    <mergeCell ref="B3:I3"/>
    <mergeCell ref="D15:E15"/>
    <mergeCell ref="B6:E6"/>
    <mergeCell ref="F6:I6"/>
    <mergeCell ref="K6:M9"/>
    <mergeCell ref="F7:I7"/>
    <mergeCell ref="D24:E24"/>
    <mergeCell ref="D13:E13"/>
    <mergeCell ref="B27:D27"/>
    <mergeCell ref="E27:I27"/>
    <mergeCell ref="E2:H2"/>
    <mergeCell ref="G4:I4"/>
    <mergeCell ref="B8:B16"/>
    <mergeCell ref="D14:E14"/>
    <mergeCell ref="B2:D2"/>
    <mergeCell ref="C4:E4"/>
    <mergeCell ref="D21:E21"/>
    <mergeCell ref="B5:I5"/>
    <mergeCell ref="B29:I29"/>
    <mergeCell ref="B17:B26"/>
    <mergeCell ref="F17:I17"/>
    <mergeCell ref="D19:E19"/>
    <mergeCell ref="D20:E20"/>
    <mergeCell ref="D23:E23"/>
    <mergeCell ref="D25:E25"/>
    <mergeCell ref="D22:E22"/>
  </mergeCells>
  <conditionalFormatting sqref="F14:I14">
    <cfRule type="expression" dxfId="17" priority="3" stopIfTrue="1">
      <formula>IF(F14=1, TRUE, FALSE)</formula>
    </cfRule>
    <cfRule type="expression" dxfId="16" priority="4" stopIfTrue="1">
      <formula>IF(F14&lt;&gt;1, TRUE, FALSE)</formula>
    </cfRule>
  </conditionalFormatting>
  <dataValidations count="5">
    <dataValidation type="list" allowBlank="1" showInputMessage="1" showErrorMessage="1" sqref="F4">
      <formula1>YesNo</formula1>
    </dataValidation>
    <dataValidation type="list" allowBlank="1" showInputMessage="1" showErrorMessage="1" sqref="F7:I7">
      <formula1>YearType</formula1>
    </dataValidation>
    <dataValidation type="list" allowBlank="1" showInputMessage="1" showErrorMessage="1" sqref="F6:I6">
      <formula1>Level</formula1>
    </dataValidation>
    <dataValidation type="decimal" allowBlank="1" showInputMessage="1" showErrorMessage="1" sqref="F11:I13 F20:I25">
      <formula1>0</formula1>
      <formula2>1</formula2>
    </dataValidation>
    <dataValidation type="decimal" allowBlank="1" showInputMessage="1" showErrorMessage="1" sqref="F10:I10 F19:I19">
      <formula1>-9999999999999990</formula1>
      <formula2>99999999999999900</formula2>
    </dataValidation>
  </dataValidations>
  <hyperlinks>
    <hyperlink ref="B2:D2" location="'8'!A1" tooltip="Financials" display="Previous Page"/>
    <hyperlink ref="E2:H2" location="'Table of Contents'!A1" tooltip="Table of Contents" display="Table of Contents"/>
    <hyperlink ref="I2" location="'9b'!A1" tooltip="Research &amp; Development (continued)" display="Next Page"/>
  </hyperlinks>
  <pageMargins left="0.25" right="0.25" top="0.75" bottom="0.75" header="0.3" footer="0.3"/>
  <pageSetup orientation="landscape" cellComments="atEnd" r:id="rId1"/>
  <headerFooter>
    <oddHeader>&amp;F</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showRowColHeaders="0" zoomScaleNormal="100" workbookViewId="0"/>
  </sheetViews>
  <sheetFormatPr defaultColWidth="8.85546875" defaultRowHeight="13.5" customHeight="1"/>
  <cols>
    <col min="1" max="1" width="8.5703125" style="45" customWidth="1"/>
    <col min="2" max="2" width="3.85546875" style="45" customWidth="1"/>
    <col min="3" max="3" width="2.85546875" style="45" customWidth="1"/>
    <col min="4" max="4" width="6.28515625" style="45" customWidth="1"/>
    <col min="5" max="5" width="28.42578125" style="45" customWidth="1"/>
    <col min="6" max="6" width="12.85546875" style="45" customWidth="1"/>
    <col min="7" max="12" width="12.5703125" style="45" customWidth="1"/>
    <col min="13" max="16384" width="8.85546875" style="45"/>
  </cols>
  <sheetData>
    <row r="1" spans="2:12" ht="13.5" customHeight="1" thickBot="1"/>
    <row r="2" spans="2:12" ht="13.5" customHeight="1" thickBot="1">
      <c r="B2" s="655" t="s">
        <v>487</v>
      </c>
      <c r="C2" s="656"/>
      <c r="D2" s="656"/>
      <c r="E2" s="143"/>
      <c r="F2" s="657" t="s">
        <v>1204</v>
      </c>
      <c r="G2" s="657"/>
      <c r="H2" s="657"/>
      <c r="I2" s="575"/>
      <c r="J2" s="575"/>
      <c r="K2" s="183"/>
      <c r="L2" s="113" t="s">
        <v>486</v>
      </c>
    </row>
    <row r="3" spans="2:12" ht="13.5" customHeight="1" thickBot="1">
      <c r="B3" s="174" t="s">
        <v>802</v>
      </c>
      <c r="C3" s="175"/>
      <c r="D3" s="175"/>
      <c r="E3" s="175"/>
      <c r="F3" s="175"/>
      <c r="G3" s="175"/>
      <c r="H3" s="175"/>
      <c r="I3" s="175"/>
      <c r="J3" s="175"/>
      <c r="K3" s="175"/>
      <c r="L3" s="176"/>
    </row>
    <row r="4" spans="2:12" s="364" customFormat="1" ht="29.25" customHeight="1">
      <c r="B4" s="1148" t="s">
        <v>5</v>
      </c>
      <c r="C4" s="784" t="s">
        <v>1173</v>
      </c>
      <c r="D4" s="785"/>
      <c r="E4" s="785"/>
      <c r="F4" s="785"/>
      <c r="G4" s="785"/>
      <c r="H4" s="785"/>
      <c r="I4" s="785"/>
      <c r="J4" s="785"/>
      <c r="K4" s="785"/>
      <c r="L4" s="786"/>
    </row>
    <row r="5" spans="2:12" s="364" customFormat="1" ht="15" customHeight="1">
      <c r="B5" s="1149"/>
      <c r="C5" s="295"/>
      <c r="D5" s="1563" t="s">
        <v>943</v>
      </c>
      <c r="E5" s="1563"/>
      <c r="F5" s="790"/>
      <c r="G5" s="820" t="s">
        <v>857</v>
      </c>
      <c r="H5" s="1557"/>
      <c r="I5" s="1557"/>
      <c r="J5" s="1557"/>
      <c r="K5" s="1557"/>
      <c r="L5" s="1558"/>
    </row>
    <row r="6" spans="2:12" s="364" customFormat="1" ht="15" customHeight="1">
      <c r="B6" s="1149"/>
      <c r="C6" s="398">
        <v>1</v>
      </c>
      <c r="D6" s="1551"/>
      <c r="E6" s="1551"/>
      <c r="F6" s="1551"/>
      <c r="G6" s="1278"/>
      <c r="H6" s="1278"/>
      <c r="I6" s="1278"/>
      <c r="J6" s="1278"/>
      <c r="K6" s="1278"/>
      <c r="L6" s="1279"/>
    </row>
    <row r="7" spans="2:12" s="364" customFormat="1" ht="15" customHeight="1">
      <c r="B7" s="1149"/>
      <c r="C7" s="399">
        <v>2</v>
      </c>
      <c r="D7" s="1551"/>
      <c r="E7" s="1551"/>
      <c r="F7" s="1551"/>
      <c r="G7" s="1278"/>
      <c r="H7" s="1278"/>
      <c r="I7" s="1278"/>
      <c r="J7" s="1278"/>
      <c r="K7" s="1278"/>
      <c r="L7" s="1279"/>
    </row>
    <row r="8" spans="2:12" s="364" customFormat="1" ht="15" customHeight="1">
      <c r="B8" s="1149"/>
      <c r="C8" s="398">
        <v>3</v>
      </c>
      <c r="D8" s="1551"/>
      <c r="E8" s="1551"/>
      <c r="F8" s="1551"/>
      <c r="G8" s="1278"/>
      <c r="H8" s="1278"/>
      <c r="I8" s="1278"/>
      <c r="J8" s="1278"/>
      <c r="K8" s="1278"/>
      <c r="L8" s="1279"/>
    </row>
    <row r="9" spans="2:12" s="364" customFormat="1" ht="15" customHeight="1">
      <c r="B9" s="1149"/>
      <c r="C9" s="398">
        <v>4</v>
      </c>
      <c r="D9" s="1551"/>
      <c r="E9" s="1551"/>
      <c r="F9" s="1551"/>
      <c r="G9" s="1278"/>
      <c r="H9" s="1278"/>
      <c r="I9" s="1278"/>
      <c r="J9" s="1278"/>
      <c r="K9" s="1278"/>
      <c r="L9" s="1279"/>
    </row>
    <row r="10" spans="2:12" s="364" customFormat="1" ht="15.75" thickBot="1">
      <c r="B10" s="1150"/>
      <c r="C10" s="401">
        <v>5</v>
      </c>
      <c r="D10" s="1562"/>
      <c r="E10" s="1562"/>
      <c r="F10" s="1562"/>
      <c r="G10" s="1307"/>
      <c r="H10" s="1307"/>
      <c r="I10" s="1307"/>
      <c r="J10" s="1307"/>
      <c r="K10" s="1307"/>
      <c r="L10" s="1308"/>
    </row>
    <row r="11" spans="2:12" ht="30" customHeight="1">
      <c r="B11" s="1149" t="s">
        <v>6</v>
      </c>
      <c r="C11" s="1559" t="s">
        <v>1174</v>
      </c>
      <c r="D11" s="1560"/>
      <c r="E11" s="1560"/>
      <c r="F11" s="1560"/>
      <c r="G11" s="1560"/>
      <c r="H11" s="1560"/>
      <c r="I11" s="1560"/>
      <c r="J11" s="1560"/>
      <c r="K11" s="1560"/>
      <c r="L11" s="1561"/>
    </row>
    <row r="12" spans="2:12" ht="30.75" customHeight="1">
      <c r="B12" s="1149"/>
      <c r="C12" s="1151" t="s">
        <v>646</v>
      </c>
      <c r="D12" s="1152"/>
      <c r="E12" s="1273"/>
      <c r="F12" s="227" t="s">
        <v>450</v>
      </c>
      <c r="G12" s="1231" t="s">
        <v>468</v>
      </c>
      <c r="H12" s="1232"/>
      <c r="I12" s="1232"/>
      <c r="J12" s="1232"/>
      <c r="K12" s="1232"/>
      <c r="L12" s="1233"/>
    </row>
    <row r="13" spans="2:12" ht="15" customHeight="1">
      <c r="B13" s="1149"/>
      <c r="C13" s="1221" t="s">
        <v>803</v>
      </c>
      <c r="D13" s="1222"/>
      <c r="E13" s="1223"/>
      <c r="F13" s="491"/>
      <c r="G13" s="1536"/>
      <c r="H13" s="1537"/>
      <c r="I13" s="1537"/>
      <c r="J13" s="1537"/>
      <c r="K13" s="1537"/>
      <c r="L13" s="1538"/>
    </row>
    <row r="14" spans="2:12" ht="15" customHeight="1">
      <c r="B14" s="1149"/>
      <c r="C14" s="769" t="s">
        <v>804</v>
      </c>
      <c r="D14" s="770"/>
      <c r="E14" s="771"/>
      <c r="F14" s="491"/>
      <c r="G14" s="1536"/>
      <c r="H14" s="1537"/>
      <c r="I14" s="1537"/>
      <c r="J14" s="1537"/>
      <c r="K14" s="1537"/>
      <c r="L14" s="1538"/>
    </row>
    <row r="15" spans="2:12" ht="15" customHeight="1">
      <c r="B15" s="1149"/>
      <c r="C15" s="327" t="s">
        <v>805</v>
      </c>
      <c r="D15" s="305"/>
      <c r="E15" s="258"/>
      <c r="F15" s="492"/>
      <c r="G15" s="1536"/>
      <c r="H15" s="1537"/>
      <c r="I15" s="1537"/>
      <c r="J15" s="1537"/>
      <c r="K15" s="1537"/>
      <c r="L15" s="1538"/>
    </row>
    <row r="16" spans="2:12" ht="15" customHeight="1">
      <c r="B16" s="1149"/>
      <c r="C16" s="775" t="s">
        <v>107</v>
      </c>
      <c r="D16" s="777"/>
      <c r="E16" s="531" t="s">
        <v>405</v>
      </c>
      <c r="F16" s="492"/>
      <c r="G16" s="1536"/>
      <c r="H16" s="1537"/>
      <c r="I16" s="1537"/>
      <c r="J16" s="1537"/>
      <c r="K16" s="1537"/>
      <c r="L16" s="1538"/>
    </row>
    <row r="17" spans="2:13" ht="15" customHeight="1">
      <c r="B17" s="1149"/>
      <c r="C17" s="775" t="s">
        <v>107</v>
      </c>
      <c r="D17" s="777"/>
      <c r="E17" s="532" t="s">
        <v>405</v>
      </c>
      <c r="F17" s="492"/>
      <c r="G17" s="1536"/>
      <c r="H17" s="1537"/>
      <c r="I17" s="1537"/>
      <c r="J17" s="1537"/>
      <c r="K17" s="1537"/>
      <c r="L17" s="1538"/>
    </row>
    <row r="18" spans="2:13" ht="15" customHeight="1" thickBot="1">
      <c r="B18" s="1149"/>
      <c r="C18" s="775" t="s">
        <v>107</v>
      </c>
      <c r="D18" s="777"/>
      <c r="E18" s="532" t="s">
        <v>405</v>
      </c>
      <c r="F18" s="492"/>
      <c r="G18" s="1539"/>
      <c r="H18" s="1540"/>
      <c r="I18" s="1540"/>
      <c r="J18" s="1540"/>
      <c r="K18" s="1540"/>
      <c r="L18" s="1541"/>
    </row>
    <row r="19" spans="2:13" s="364" customFormat="1" ht="29.25" customHeight="1">
      <c r="B19" s="1543" t="s">
        <v>7</v>
      </c>
      <c r="C19" s="1554" t="s">
        <v>1171</v>
      </c>
      <c r="D19" s="1555"/>
      <c r="E19" s="1555"/>
      <c r="F19" s="1555"/>
      <c r="G19" s="1555"/>
      <c r="H19" s="1555"/>
      <c r="I19" s="1555"/>
      <c r="J19" s="1556"/>
      <c r="K19" s="1552"/>
      <c r="L19" s="1553"/>
    </row>
    <row r="20" spans="2:13" s="364" customFormat="1" ht="29.25" customHeight="1" thickBot="1">
      <c r="B20" s="1544"/>
      <c r="C20" s="1545" t="s">
        <v>448</v>
      </c>
      <c r="D20" s="1546"/>
      <c r="E20" s="1547"/>
      <c r="F20" s="1548"/>
      <c r="G20" s="1548"/>
      <c r="H20" s="1548"/>
      <c r="I20" s="1548"/>
      <c r="J20" s="1548"/>
      <c r="K20" s="1548"/>
      <c r="L20" s="1549"/>
    </row>
    <row r="21" spans="2:13" ht="22.5" customHeight="1">
      <c r="B21" s="1148" t="s">
        <v>8</v>
      </c>
      <c r="C21" s="1238" t="s">
        <v>1172</v>
      </c>
      <c r="D21" s="1238"/>
      <c r="E21" s="1542"/>
      <c r="F21" s="1542"/>
      <c r="G21" s="1542"/>
      <c r="H21" s="1542"/>
      <c r="I21" s="1542"/>
      <c r="J21" s="1542"/>
      <c r="K21" s="1321"/>
      <c r="L21" s="505"/>
      <c r="M21" s="41"/>
    </row>
    <row r="22" spans="2:13" ht="30" customHeight="1" thickBot="1">
      <c r="B22" s="1150"/>
      <c r="C22" s="1272" t="s">
        <v>448</v>
      </c>
      <c r="D22" s="1550"/>
      <c r="E22" s="1528"/>
      <c r="F22" s="1529"/>
      <c r="G22" s="1529"/>
      <c r="H22" s="1529"/>
      <c r="I22" s="1529"/>
      <c r="J22" s="1529"/>
      <c r="K22" s="1529"/>
      <c r="L22" s="1530"/>
      <c r="M22" s="41"/>
    </row>
    <row r="23" spans="2:13" ht="26.25" customHeight="1">
      <c r="B23" s="1148" t="s">
        <v>9</v>
      </c>
      <c r="C23" s="839" t="s">
        <v>1331</v>
      </c>
      <c r="D23" s="798"/>
      <c r="E23" s="798"/>
      <c r="F23" s="798"/>
      <c r="G23" s="798"/>
      <c r="H23" s="798"/>
      <c r="I23" s="798"/>
      <c r="J23" s="798"/>
      <c r="K23" s="798"/>
      <c r="L23" s="799"/>
    </row>
    <row r="24" spans="2:13" ht="22.5" customHeight="1">
      <c r="B24" s="1149"/>
      <c r="C24" s="331">
        <v>1</v>
      </c>
      <c r="D24" s="1309"/>
      <c r="E24" s="1310"/>
      <c r="F24" s="268" t="s">
        <v>448</v>
      </c>
      <c r="G24" s="1408"/>
      <c r="H24" s="1409"/>
      <c r="I24" s="1409"/>
      <c r="J24" s="1409"/>
      <c r="K24" s="1409"/>
      <c r="L24" s="1410"/>
    </row>
    <row r="25" spans="2:13" ht="22.5" customHeight="1">
      <c r="B25" s="1149"/>
      <c r="C25" s="319">
        <v>2</v>
      </c>
      <c r="D25" s="1533"/>
      <c r="E25" s="1534"/>
      <c r="F25" s="268" t="s">
        <v>448</v>
      </c>
      <c r="G25" s="1535"/>
      <c r="H25" s="1418"/>
      <c r="I25" s="1418"/>
      <c r="J25" s="1418"/>
      <c r="K25" s="1418"/>
      <c r="L25" s="1419"/>
    </row>
    <row r="26" spans="2:13" ht="22.5" customHeight="1" thickBot="1">
      <c r="B26" s="1150"/>
      <c r="C26" s="328">
        <v>3</v>
      </c>
      <c r="D26" s="1531"/>
      <c r="E26" s="1532"/>
      <c r="F26" s="213" t="s">
        <v>448</v>
      </c>
      <c r="G26" s="1528"/>
      <c r="H26" s="1529"/>
      <c r="I26" s="1529"/>
      <c r="J26" s="1529"/>
      <c r="K26" s="1529"/>
      <c r="L26" s="1530"/>
    </row>
    <row r="27" spans="2:13" ht="27" customHeight="1">
      <c r="B27" s="1254" t="s">
        <v>48</v>
      </c>
      <c r="C27" s="1255"/>
      <c r="D27" s="1255"/>
      <c r="E27" s="1326"/>
      <c r="F27" s="1312"/>
      <c r="G27" s="1313"/>
      <c r="H27" s="1313"/>
      <c r="I27" s="1313"/>
      <c r="J27" s="1313"/>
      <c r="K27" s="1313"/>
      <c r="L27" s="1314"/>
    </row>
    <row r="28" spans="2:13" ht="12.75" customHeight="1">
      <c r="B28" s="1167" t="s">
        <v>4</v>
      </c>
      <c r="C28" s="1168"/>
      <c r="D28" s="1168"/>
      <c r="E28" s="1168"/>
      <c r="F28" s="1168"/>
      <c r="G28" s="1168"/>
      <c r="H28" s="1168"/>
      <c r="I28" s="1168"/>
      <c r="J28" s="1168"/>
      <c r="K28" s="1168"/>
      <c r="L28" s="1169"/>
    </row>
    <row r="29" spans="2:13" ht="12.75" customHeight="1" thickBot="1">
      <c r="B29" s="1170"/>
      <c r="C29" s="1171"/>
      <c r="D29" s="1171"/>
      <c r="E29" s="1171"/>
      <c r="F29" s="1171"/>
      <c r="G29" s="1171"/>
      <c r="H29" s="1171"/>
      <c r="I29" s="1171"/>
      <c r="J29" s="1171"/>
      <c r="K29" s="1171"/>
      <c r="L29" s="1172"/>
    </row>
  </sheetData>
  <sheetProtection password="C288" sheet="1"/>
  <mergeCells count="51">
    <mergeCell ref="B2:D2"/>
    <mergeCell ref="G9:L9"/>
    <mergeCell ref="D10:F10"/>
    <mergeCell ref="G10:L10"/>
    <mergeCell ref="D5:F5"/>
    <mergeCell ref="B4:B10"/>
    <mergeCell ref="F2:H2"/>
    <mergeCell ref="K19:L19"/>
    <mergeCell ref="C19:J19"/>
    <mergeCell ref="C4:L4"/>
    <mergeCell ref="G5:L5"/>
    <mergeCell ref="G6:L6"/>
    <mergeCell ref="D6:F6"/>
    <mergeCell ref="D7:F7"/>
    <mergeCell ref="G7:L7"/>
    <mergeCell ref="C11:L11"/>
    <mergeCell ref="C12:E12"/>
    <mergeCell ref="B21:B22"/>
    <mergeCell ref="B19:B20"/>
    <mergeCell ref="C20:D20"/>
    <mergeCell ref="E20:L20"/>
    <mergeCell ref="C22:D22"/>
    <mergeCell ref="D8:F8"/>
    <mergeCell ref="G8:L8"/>
    <mergeCell ref="D9:F9"/>
    <mergeCell ref="C16:D16"/>
    <mergeCell ref="C17:D17"/>
    <mergeCell ref="B27:E27"/>
    <mergeCell ref="F27:L27"/>
    <mergeCell ref="B28:L29"/>
    <mergeCell ref="G15:L15"/>
    <mergeCell ref="G16:L16"/>
    <mergeCell ref="G17:L17"/>
    <mergeCell ref="G18:L18"/>
    <mergeCell ref="B23:B26"/>
    <mergeCell ref="C21:K21"/>
    <mergeCell ref="B11:B18"/>
    <mergeCell ref="G12:L12"/>
    <mergeCell ref="C13:E13"/>
    <mergeCell ref="G13:L13"/>
    <mergeCell ref="C14:E14"/>
    <mergeCell ref="G14:L14"/>
    <mergeCell ref="C18:D18"/>
    <mergeCell ref="G26:L26"/>
    <mergeCell ref="D26:E26"/>
    <mergeCell ref="D24:E24"/>
    <mergeCell ref="D25:E25"/>
    <mergeCell ref="E22:L22"/>
    <mergeCell ref="C23:L23"/>
    <mergeCell ref="G24:L24"/>
    <mergeCell ref="G25:L25"/>
  </mergeCells>
  <dataValidations count="2">
    <dataValidation type="list" allowBlank="1" showInputMessage="1" showErrorMessage="1" sqref="L21 F13:F18 K19:L19">
      <formula1>YesNoNA</formula1>
    </dataValidation>
    <dataValidation type="list" allowBlank="1" showInputMessage="1" showErrorMessage="1" sqref="D6:F10 D24:E26">
      <formula1>RDPriorities</formula1>
    </dataValidation>
  </dataValidations>
  <hyperlinks>
    <hyperlink ref="B2:C2" location="'5'!A1" tooltip="Critical Suppliers" display="Previous Page"/>
    <hyperlink ref="L2" location="'10'!A1" tooltip="Capital Expenditures" display="Next Page"/>
    <hyperlink ref="B2:D2" location="'9a'!A1" tooltip="Research &amp; Development" display="Previous Page"/>
  </hyperlinks>
  <pageMargins left="0.25" right="0.25" top="0.75" bottom="0.75" header="0.3" footer="0.3"/>
  <pageSetup scale="73" orientation="landscape" cellComments="atEnd" r:id="rId1"/>
  <headerFooter>
    <oddHeader>&amp;F</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showRowColHeaders="0" zoomScaleNormal="100" workbookViewId="0"/>
  </sheetViews>
  <sheetFormatPr defaultRowHeight="15"/>
  <cols>
    <col min="1" max="1" width="9.140625" style="364"/>
    <col min="2" max="2" width="2.42578125" style="364" customWidth="1"/>
    <col min="3" max="3" width="3" style="364" customWidth="1"/>
    <col min="4" max="4" width="14.85546875" style="364" customWidth="1"/>
    <col min="5" max="5" width="36" style="364" customWidth="1"/>
    <col min="6" max="9" width="15.5703125" style="364" customWidth="1"/>
    <col min="10" max="10" width="9.140625" style="364"/>
    <col min="11" max="12" width="9.85546875" style="364" customWidth="1"/>
    <col min="13" max="16384" width="9.140625" style="364"/>
  </cols>
  <sheetData>
    <row r="1" spans="2:12" ht="15.75" thickBot="1"/>
    <row r="2" spans="2:12" ht="13.5" customHeight="1">
      <c r="B2" s="1605" t="s">
        <v>487</v>
      </c>
      <c r="C2" s="1606"/>
      <c r="D2" s="1606"/>
      <c r="E2" s="1617" t="s">
        <v>1204</v>
      </c>
      <c r="F2" s="1617"/>
      <c r="G2" s="1617"/>
      <c r="H2" s="1617"/>
      <c r="I2" s="574" t="s">
        <v>486</v>
      </c>
      <c r="J2" s="369"/>
      <c r="K2" s="369"/>
      <c r="L2" s="369"/>
    </row>
    <row r="3" spans="2:12" ht="13.5" customHeight="1">
      <c r="B3" s="1607" t="s">
        <v>849</v>
      </c>
      <c r="C3" s="1608"/>
      <c r="D3" s="1608"/>
      <c r="E3" s="1608"/>
      <c r="F3" s="1608"/>
      <c r="G3" s="1608"/>
      <c r="H3" s="1608"/>
      <c r="I3" s="1609"/>
      <c r="J3" s="363"/>
      <c r="K3" s="363"/>
      <c r="L3" s="363"/>
    </row>
    <row r="4" spans="2:12" ht="44.25" customHeight="1" thickBot="1">
      <c r="B4" s="1610" t="s">
        <v>1332</v>
      </c>
      <c r="C4" s="1611"/>
      <c r="D4" s="1611"/>
      <c r="E4" s="1611"/>
      <c r="F4" s="1611"/>
      <c r="G4" s="1611"/>
      <c r="H4" s="1611"/>
      <c r="I4" s="1612"/>
    </row>
    <row r="5" spans="2:12" ht="15" customHeight="1">
      <c r="B5" s="1591" t="s">
        <v>850</v>
      </c>
      <c r="C5" s="1592"/>
      <c r="D5" s="1613"/>
      <c r="E5" s="1613"/>
      <c r="F5" s="1614"/>
      <c r="G5" s="1615"/>
      <c r="H5" s="1615"/>
      <c r="I5" s="1616"/>
    </row>
    <row r="6" spans="2:12" ht="15" customHeight="1" thickBot="1">
      <c r="B6" s="1585" t="s">
        <v>851</v>
      </c>
      <c r="C6" s="1586"/>
      <c r="D6" s="1587"/>
      <c r="E6" s="1587"/>
      <c r="F6" s="1588"/>
      <c r="G6" s="1589"/>
      <c r="H6" s="1589"/>
      <c r="I6" s="1590"/>
      <c r="K6" s="1443" t="s">
        <v>1386</v>
      </c>
      <c r="L6" s="1444"/>
    </row>
    <row r="7" spans="2:12" ht="22.5" customHeight="1">
      <c r="B7" s="1591" t="s">
        <v>852</v>
      </c>
      <c r="C7" s="1592"/>
      <c r="D7" s="1592"/>
      <c r="E7" s="1592"/>
      <c r="F7" s="1595" t="s">
        <v>101</v>
      </c>
      <c r="G7" s="1596"/>
      <c r="H7" s="1596"/>
      <c r="I7" s="1597"/>
      <c r="K7" s="1601" t="s">
        <v>1392</v>
      </c>
      <c r="L7" s="1602"/>
    </row>
    <row r="8" spans="2:12" ht="15" customHeight="1">
      <c r="B8" s="1593"/>
      <c r="C8" s="1594"/>
      <c r="D8" s="1594"/>
      <c r="E8" s="1594"/>
      <c r="F8" s="384">
        <v>2012</v>
      </c>
      <c r="G8" s="384">
        <v>2013</v>
      </c>
      <c r="H8" s="384">
        <v>2014</v>
      </c>
      <c r="I8" s="385">
        <v>2015</v>
      </c>
      <c r="K8" s="1603"/>
      <c r="L8" s="1604"/>
    </row>
    <row r="9" spans="2:12" ht="15.75" customHeight="1" thickBot="1">
      <c r="B9" s="386" t="s">
        <v>96</v>
      </c>
      <c r="C9" s="1598" t="s">
        <v>853</v>
      </c>
      <c r="D9" s="1599"/>
      <c r="E9" s="1600"/>
      <c r="F9" s="522"/>
      <c r="G9" s="522"/>
      <c r="H9" s="522"/>
      <c r="I9" s="516"/>
      <c r="J9" s="387"/>
      <c r="K9" s="1527" t="str">
        <f>IF(I9=0, "None", IF(I9&lt;1000, "$"&amp;I9&amp;" Thousand", IF(I9&lt;1000000,"$"&amp;I9/1000&amp;" Million", IF(I9&lt;1000000000,"$"&amp;I9/1000000&amp;" Billion", "Exceed One Trillion Dollars"))))</f>
        <v>None</v>
      </c>
      <c r="L9" s="1527"/>
    </row>
    <row r="10" spans="2:12">
      <c r="B10" s="388"/>
      <c r="C10" s="389">
        <v>1</v>
      </c>
      <c r="D10" s="1583" t="s">
        <v>854</v>
      </c>
      <c r="E10" s="1584"/>
      <c r="F10" s="523"/>
      <c r="G10" s="523"/>
      <c r="H10" s="523"/>
      <c r="I10" s="524"/>
    </row>
    <row r="11" spans="2:12">
      <c r="B11" s="388"/>
      <c r="C11" s="390">
        <v>2</v>
      </c>
      <c r="D11" s="1574" t="s">
        <v>855</v>
      </c>
      <c r="E11" s="1575"/>
      <c r="F11" s="525"/>
      <c r="G11" s="525"/>
      <c r="H11" s="525"/>
      <c r="I11" s="526"/>
    </row>
    <row r="12" spans="2:12">
      <c r="B12" s="388"/>
      <c r="C12" s="391">
        <v>3</v>
      </c>
      <c r="D12" s="1571" t="s">
        <v>858</v>
      </c>
      <c r="E12" s="1571"/>
      <c r="F12" s="525"/>
      <c r="G12" s="525"/>
      <c r="H12" s="525"/>
      <c r="I12" s="526"/>
    </row>
    <row r="13" spans="2:12">
      <c r="B13" s="388"/>
      <c r="C13" s="392">
        <v>4</v>
      </c>
      <c r="D13" s="393" t="s">
        <v>701</v>
      </c>
      <c r="E13" s="533"/>
      <c r="F13" s="525"/>
      <c r="G13" s="525"/>
      <c r="H13" s="525"/>
      <c r="I13" s="526"/>
    </row>
    <row r="14" spans="2:12" ht="15.75" thickBot="1">
      <c r="B14" s="388"/>
      <c r="C14" s="394">
        <v>5</v>
      </c>
      <c r="D14" s="395" t="s">
        <v>701</v>
      </c>
      <c r="E14" s="534"/>
      <c r="F14" s="525"/>
      <c r="G14" s="525"/>
      <c r="H14" s="525"/>
      <c r="I14" s="526"/>
    </row>
    <row r="15" spans="2:12" ht="15.75" thickBot="1">
      <c r="B15" s="388"/>
      <c r="C15" s="1580" t="s">
        <v>856</v>
      </c>
      <c r="D15" s="1581"/>
      <c r="E15" s="1582"/>
      <c r="F15" s="236">
        <f>SUM(F10:F14)</f>
        <v>0</v>
      </c>
      <c r="G15" s="236">
        <f>SUM(G10:G14)</f>
        <v>0</v>
      </c>
      <c r="H15" s="236">
        <f>SUM(H10:H14)</f>
        <v>0</v>
      </c>
      <c r="I15" s="236">
        <f>SUM(I10:I14)</f>
        <v>0</v>
      </c>
    </row>
    <row r="16" spans="2:12" ht="29.25" customHeight="1" thickBot="1">
      <c r="B16" s="396"/>
      <c r="C16" s="397">
        <v>6</v>
      </c>
      <c r="D16" s="1578" t="s">
        <v>1279</v>
      </c>
      <c r="E16" s="1579"/>
      <c r="F16" s="535"/>
      <c r="G16" s="535"/>
      <c r="H16" s="535"/>
      <c r="I16" s="536"/>
      <c r="J16" s="363"/>
      <c r="K16" s="363"/>
      <c r="L16" s="363"/>
    </row>
    <row r="17" spans="2:12" ht="29.25" customHeight="1">
      <c r="B17" s="1543" t="s">
        <v>111</v>
      </c>
      <c r="C17" s="1555" t="s">
        <v>1280</v>
      </c>
      <c r="D17" s="1555"/>
      <c r="E17" s="1555"/>
      <c r="F17" s="1555"/>
      <c r="G17" s="1556"/>
      <c r="H17" s="1576"/>
      <c r="I17" s="1577"/>
      <c r="J17" s="363"/>
      <c r="K17" s="363"/>
      <c r="L17" s="363"/>
    </row>
    <row r="18" spans="2:12" ht="29.25" customHeight="1" thickBot="1">
      <c r="B18" s="1544"/>
      <c r="C18" s="1545" t="s">
        <v>448</v>
      </c>
      <c r="D18" s="1546"/>
      <c r="E18" s="1547"/>
      <c r="F18" s="1548"/>
      <c r="G18" s="1548"/>
      <c r="H18" s="1548"/>
      <c r="I18" s="1549"/>
      <c r="J18" s="363"/>
      <c r="K18" s="363"/>
      <c r="L18" s="363"/>
    </row>
    <row r="19" spans="2:12" ht="29.25" customHeight="1">
      <c r="B19" s="1148" t="s">
        <v>112</v>
      </c>
      <c r="C19" s="784" t="s">
        <v>1281</v>
      </c>
      <c r="D19" s="785"/>
      <c r="E19" s="785"/>
      <c r="F19" s="785"/>
      <c r="G19" s="785"/>
      <c r="H19" s="785"/>
      <c r="I19" s="786"/>
      <c r="J19" s="363"/>
      <c r="K19" s="363"/>
      <c r="L19" s="363"/>
    </row>
    <row r="20" spans="2:12">
      <c r="B20" s="1149"/>
      <c r="C20" s="831" t="s">
        <v>943</v>
      </c>
      <c r="D20" s="1566"/>
      <c r="E20" s="1566"/>
      <c r="F20" s="789" t="s">
        <v>857</v>
      </c>
      <c r="G20" s="1563"/>
      <c r="H20" s="1563"/>
      <c r="I20" s="1567"/>
      <c r="J20" s="363"/>
      <c r="K20" s="363"/>
      <c r="L20" s="363"/>
    </row>
    <row r="21" spans="2:12">
      <c r="B21" s="1149"/>
      <c r="C21" s="398">
        <v>1</v>
      </c>
      <c r="D21" s="1309"/>
      <c r="E21" s="1388"/>
      <c r="F21" s="1327"/>
      <c r="G21" s="1198"/>
      <c r="H21" s="1198"/>
      <c r="I21" s="1199"/>
      <c r="J21" s="363"/>
      <c r="K21" s="363"/>
      <c r="L21" s="363"/>
    </row>
    <row r="22" spans="2:12">
      <c r="B22" s="1149"/>
      <c r="C22" s="399">
        <v>2</v>
      </c>
      <c r="D22" s="1309"/>
      <c r="E22" s="1388"/>
      <c r="F22" s="1327"/>
      <c r="G22" s="1198"/>
      <c r="H22" s="1198"/>
      <c r="I22" s="1199"/>
      <c r="J22" s="363"/>
      <c r="K22" s="363"/>
      <c r="L22" s="363"/>
    </row>
    <row r="23" spans="2:12">
      <c r="B23" s="1149"/>
      <c r="C23" s="398">
        <v>3</v>
      </c>
      <c r="D23" s="1309"/>
      <c r="E23" s="1388"/>
      <c r="F23" s="1327"/>
      <c r="G23" s="1198"/>
      <c r="H23" s="1198"/>
      <c r="I23" s="1199"/>
      <c r="J23" s="363"/>
      <c r="K23" s="363"/>
      <c r="L23" s="363"/>
    </row>
    <row r="24" spans="2:12">
      <c r="B24" s="1149"/>
      <c r="C24" s="398">
        <v>4</v>
      </c>
      <c r="D24" s="1309"/>
      <c r="E24" s="1388"/>
      <c r="F24" s="1327"/>
      <c r="G24" s="1198"/>
      <c r="H24" s="1198"/>
      <c r="I24" s="1199"/>
      <c r="J24" s="363"/>
      <c r="K24" s="363"/>
      <c r="L24" s="363"/>
    </row>
    <row r="25" spans="2:12" ht="15.75" thickBot="1">
      <c r="B25" s="1149"/>
      <c r="C25" s="400">
        <v>5</v>
      </c>
      <c r="D25" s="1309"/>
      <c r="E25" s="1388"/>
      <c r="F25" s="1301"/>
      <c r="G25" s="1302"/>
      <c r="H25" s="1302"/>
      <c r="I25" s="1303"/>
      <c r="J25" s="363"/>
      <c r="K25" s="363"/>
      <c r="L25" s="363"/>
    </row>
    <row r="26" spans="2:12" ht="30" customHeight="1" thickBot="1">
      <c r="B26" s="1572" t="s">
        <v>48</v>
      </c>
      <c r="C26" s="1504"/>
      <c r="D26" s="1573"/>
      <c r="E26" s="1564"/>
      <c r="F26" s="1564"/>
      <c r="G26" s="1564"/>
      <c r="H26" s="1564"/>
      <c r="I26" s="1565"/>
      <c r="J26" s="363"/>
      <c r="K26" s="363"/>
      <c r="L26" s="363"/>
    </row>
    <row r="27" spans="2:12">
      <c r="B27" s="1568" t="s">
        <v>4</v>
      </c>
      <c r="C27" s="1569"/>
      <c r="D27" s="1569"/>
      <c r="E27" s="1569"/>
      <c r="F27" s="1569"/>
      <c r="G27" s="1569"/>
      <c r="H27" s="1569"/>
      <c r="I27" s="1570"/>
      <c r="J27" s="363"/>
      <c r="K27" s="363"/>
      <c r="L27" s="363"/>
    </row>
    <row r="28" spans="2:12" ht="15.75" thickBot="1">
      <c r="B28" s="1075"/>
      <c r="C28" s="1076"/>
      <c r="D28" s="1076"/>
      <c r="E28" s="1076"/>
      <c r="F28" s="1076"/>
      <c r="G28" s="1076"/>
      <c r="H28" s="1076"/>
      <c r="I28" s="1077"/>
      <c r="J28" s="363"/>
      <c r="K28" s="363"/>
      <c r="L28" s="363"/>
    </row>
  </sheetData>
  <sheetProtection password="C288" sheet="1"/>
  <mergeCells count="41">
    <mergeCell ref="K6:L6"/>
    <mergeCell ref="K9:L9"/>
    <mergeCell ref="K7:L8"/>
    <mergeCell ref="B2:D2"/>
    <mergeCell ref="B3:I3"/>
    <mergeCell ref="B4:I4"/>
    <mergeCell ref="B5:E5"/>
    <mergeCell ref="F5:I5"/>
    <mergeCell ref="E2:H2"/>
    <mergeCell ref="D10:E10"/>
    <mergeCell ref="B6:E6"/>
    <mergeCell ref="F6:I6"/>
    <mergeCell ref="B7:E8"/>
    <mergeCell ref="F7:I7"/>
    <mergeCell ref="C9:E9"/>
    <mergeCell ref="D11:E11"/>
    <mergeCell ref="C17:G17"/>
    <mergeCell ref="H17:I17"/>
    <mergeCell ref="C18:D18"/>
    <mergeCell ref="E18:I18"/>
    <mergeCell ref="D16:E16"/>
    <mergeCell ref="C15:E15"/>
    <mergeCell ref="B27:I28"/>
    <mergeCell ref="D12:E12"/>
    <mergeCell ref="D24:E24"/>
    <mergeCell ref="F24:I24"/>
    <mergeCell ref="D25:E25"/>
    <mergeCell ref="F25:I25"/>
    <mergeCell ref="D23:E23"/>
    <mergeCell ref="F23:I23"/>
    <mergeCell ref="B17:B18"/>
    <mergeCell ref="B26:D26"/>
    <mergeCell ref="E26:I26"/>
    <mergeCell ref="B19:B25"/>
    <mergeCell ref="C19:I19"/>
    <mergeCell ref="D21:E21"/>
    <mergeCell ref="F21:I21"/>
    <mergeCell ref="D22:E22"/>
    <mergeCell ref="F22:I22"/>
    <mergeCell ref="C20:E20"/>
    <mergeCell ref="F20:I20"/>
  </mergeCells>
  <conditionalFormatting sqref="F15">
    <cfRule type="expression" dxfId="15" priority="10" stopIfTrue="1">
      <formula>F15&lt;&gt;1</formula>
    </cfRule>
    <cfRule type="expression" dxfId="14" priority="11" stopIfTrue="1">
      <formula>F15=1</formula>
    </cfRule>
  </conditionalFormatting>
  <conditionalFormatting sqref="G15">
    <cfRule type="expression" dxfId="13" priority="5" stopIfTrue="1">
      <formula>G15&lt;&gt;1</formula>
    </cfRule>
    <cfRule type="expression" dxfId="12" priority="6" stopIfTrue="1">
      <formula>G15=1</formula>
    </cfRule>
  </conditionalFormatting>
  <conditionalFormatting sqref="H15">
    <cfRule type="expression" dxfId="11" priority="3" stopIfTrue="1">
      <formula>H15&lt;&gt;1</formula>
    </cfRule>
    <cfRule type="expression" dxfId="10" priority="4" stopIfTrue="1">
      <formula>H15=1</formula>
    </cfRule>
  </conditionalFormatting>
  <conditionalFormatting sqref="I15">
    <cfRule type="expression" dxfId="9" priority="1" stopIfTrue="1">
      <formula>I15&lt;&gt;1</formula>
    </cfRule>
    <cfRule type="expression" dxfId="8" priority="2" stopIfTrue="1">
      <formula>I15=1</formula>
    </cfRule>
  </conditionalFormatting>
  <dataValidations count="5">
    <dataValidation type="list" allowBlank="1" showInputMessage="1" showErrorMessage="1" sqref="F5:I5">
      <formula1>Level</formula1>
    </dataValidation>
    <dataValidation type="list" allowBlank="1" showInputMessage="1" showErrorMessage="1" sqref="F6:I6">
      <formula1>YearType</formula1>
    </dataValidation>
    <dataValidation type="decimal" allowBlank="1" showInputMessage="1" showErrorMessage="1" sqref="F9:I9">
      <formula1>-9999999999999990</formula1>
      <formula2>99999999999999900</formula2>
    </dataValidation>
    <dataValidation type="list" allowBlank="1" showInputMessage="1" showErrorMessage="1" sqref="H17:I17">
      <formula1>YesNoNA</formula1>
    </dataValidation>
    <dataValidation type="list" allowBlank="1" showInputMessage="1" showErrorMessage="1" sqref="D21:E25">
      <formula1>CapExFuture</formula1>
    </dataValidation>
  </dataValidations>
  <hyperlinks>
    <hyperlink ref="I2" location="'11a'!A1" tooltip="Workforce" display="Next Page"/>
    <hyperlink ref="B2:D2" location="'9b'!A1" tooltip="Research &amp; Development (continued)" display="Previous Page"/>
  </hyperlinks>
  <pageMargins left="0.25" right="0.25" top="0.75" bottom="0.75" header="0.3" footer="0.3"/>
  <pageSetup orientation="landscape" cellComments="atEnd" verticalDpi="0" r:id="rId1"/>
  <headerFooter>
    <oddHeader>&amp;F</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showRowColHeaders="0" zoomScaleNormal="100" workbookViewId="0"/>
  </sheetViews>
  <sheetFormatPr defaultRowHeight="15"/>
  <cols>
    <col min="1" max="1" width="9.140625" style="364"/>
    <col min="2" max="3" width="3" style="364" customWidth="1"/>
    <col min="4" max="4" width="3.7109375" style="364" customWidth="1"/>
    <col min="5" max="5" width="25.28515625" style="364" customWidth="1"/>
    <col min="6" max="9" width="13.85546875" style="364" customWidth="1"/>
    <col min="10" max="12" width="13.140625" style="364" customWidth="1"/>
    <col min="13" max="16384" width="9.140625" style="364"/>
  </cols>
  <sheetData>
    <row r="1" spans="1:15" ht="15.75" thickBot="1">
      <c r="A1" s="132"/>
      <c r="B1" s="132"/>
      <c r="C1" s="132"/>
      <c r="D1" s="132"/>
      <c r="E1" s="132"/>
      <c r="F1" s="132"/>
      <c r="G1" s="132"/>
      <c r="H1" s="132"/>
      <c r="I1" s="132"/>
      <c r="J1" s="132"/>
      <c r="K1" s="132"/>
      <c r="L1" s="132"/>
      <c r="M1" s="381"/>
      <c r="N1" s="381"/>
      <c r="O1" s="381"/>
    </row>
    <row r="2" spans="1:15" ht="13.5" customHeight="1" thickBot="1">
      <c r="A2" s="155"/>
      <c r="B2" s="655" t="s">
        <v>487</v>
      </c>
      <c r="C2" s="656"/>
      <c r="D2" s="656"/>
      <c r="E2" s="656"/>
      <c r="F2" s="1617" t="s">
        <v>1204</v>
      </c>
      <c r="G2" s="1617"/>
      <c r="H2" s="1617"/>
      <c r="I2" s="1617"/>
      <c r="J2" s="156"/>
      <c r="K2" s="157"/>
      <c r="L2" s="574" t="s">
        <v>486</v>
      </c>
      <c r="M2" s="369"/>
      <c r="N2" s="369"/>
      <c r="O2" s="369"/>
    </row>
    <row r="3" spans="1:15" ht="13.5" customHeight="1" thickBot="1">
      <c r="A3" s="132"/>
      <c r="B3" s="1675" t="s">
        <v>845</v>
      </c>
      <c r="C3" s="1676"/>
      <c r="D3" s="1676"/>
      <c r="E3" s="1676"/>
      <c r="F3" s="1676"/>
      <c r="G3" s="1676"/>
      <c r="H3" s="1676"/>
      <c r="I3" s="1676"/>
      <c r="J3" s="1676"/>
      <c r="K3" s="1676"/>
      <c r="L3" s="1677"/>
      <c r="M3" s="368"/>
      <c r="N3" s="368"/>
      <c r="O3" s="368"/>
    </row>
    <row r="4" spans="1:15" ht="76.5" customHeight="1" thickBot="1">
      <c r="A4" s="132"/>
      <c r="B4" s="1678" t="s">
        <v>1333</v>
      </c>
      <c r="C4" s="1679"/>
      <c r="D4" s="1679"/>
      <c r="E4" s="1679"/>
      <c r="F4" s="1679"/>
      <c r="G4" s="1679"/>
      <c r="H4" s="1679"/>
      <c r="I4" s="1679"/>
      <c r="J4" s="1679"/>
      <c r="K4" s="1679"/>
      <c r="L4" s="1680"/>
      <c r="M4" s="368"/>
      <c r="N4" s="368"/>
      <c r="O4" s="368"/>
    </row>
    <row r="5" spans="1:15" ht="15" customHeight="1">
      <c r="A5" s="132"/>
      <c r="B5" s="840" t="s">
        <v>691</v>
      </c>
      <c r="C5" s="1646"/>
      <c r="D5" s="1646"/>
      <c r="E5" s="1646"/>
      <c r="F5" s="1646"/>
      <c r="G5" s="1646"/>
      <c r="H5" s="1647"/>
      <c r="I5" s="1621"/>
      <c r="J5" s="1622"/>
      <c r="K5" s="1622"/>
      <c r="L5" s="1623"/>
      <c r="M5" s="1658" t="s">
        <v>692</v>
      </c>
      <c r="N5" s="1659"/>
      <c r="O5" s="1659"/>
    </row>
    <row r="6" spans="1:15" ht="15.75" thickBot="1">
      <c r="A6" s="132"/>
      <c r="B6" s="1648" t="s">
        <v>54</v>
      </c>
      <c r="C6" s="1649"/>
      <c r="D6" s="1649"/>
      <c r="E6" s="1649"/>
      <c r="F6" s="1649"/>
      <c r="G6" s="1649"/>
      <c r="H6" s="1650"/>
      <c r="I6" s="1338"/>
      <c r="J6" s="1624"/>
      <c r="K6" s="1624"/>
      <c r="L6" s="1339"/>
      <c r="M6" s="1658"/>
      <c r="N6" s="1659"/>
      <c r="O6" s="1659"/>
    </row>
    <row r="7" spans="1:15">
      <c r="A7" s="132"/>
      <c r="B7" s="1660" t="s">
        <v>96</v>
      </c>
      <c r="C7" s="158"/>
      <c r="D7" s="1670"/>
      <c r="E7" s="1671"/>
      <c r="F7" s="1671"/>
      <c r="G7" s="1671"/>
      <c r="H7" s="1672"/>
      <c r="I7" s="159">
        <v>2012</v>
      </c>
      <c r="J7" s="159">
        <v>2013</v>
      </c>
      <c r="K7" s="160">
        <v>2014</v>
      </c>
      <c r="L7" s="161">
        <v>2015</v>
      </c>
      <c r="M7" s="1658"/>
      <c r="N7" s="1659"/>
      <c r="O7" s="1659"/>
    </row>
    <row r="8" spans="1:15" ht="15.75" thickBot="1">
      <c r="A8" s="132"/>
      <c r="B8" s="1661"/>
      <c r="C8" s="162">
        <v>1</v>
      </c>
      <c r="D8" s="1664" t="s">
        <v>806</v>
      </c>
      <c r="E8" s="1665"/>
      <c r="F8" s="1665"/>
      <c r="G8" s="1665"/>
      <c r="H8" s="1666"/>
      <c r="I8" s="537"/>
      <c r="J8" s="537"/>
      <c r="K8" s="537"/>
      <c r="L8" s="538"/>
      <c r="M8" s="368"/>
      <c r="N8" s="368"/>
      <c r="O8" s="368"/>
    </row>
    <row r="9" spans="1:15">
      <c r="A9" s="132"/>
      <c r="B9" s="1661"/>
      <c r="C9" s="162"/>
      <c r="D9" s="163" t="s">
        <v>693</v>
      </c>
      <c r="E9" s="1667" t="s">
        <v>1334</v>
      </c>
      <c r="F9" s="1668"/>
      <c r="G9" s="1668"/>
      <c r="H9" s="1669"/>
      <c r="I9" s="539"/>
      <c r="J9" s="539"/>
      <c r="K9" s="539"/>
      <c r="L9" s="540"/>
      <c r="M9" s="368"/>
      <c r="N9" s="368"/>
      <c r="O9" s="368"/>
    </row>
    <row r="10" spans="1:15">
      <c r="A10" s="132"/>
      <c r="B10" s="1661"/>
      <c r="C10" s="162"/>
      <c r="D10" s="163" t="s">
        <v>694</v>
      </c>
      <c r="E10" s="1655" t="s">
        <v>1335</v>
      </c>
      <c r="F10" s="1656"/>
      <c r="G10" s="1656"/>
      <c r="H10" s="1657"/>
      <c r="I10" s="539"/>
      <c r="J10" s="539"/>
      <c r="K10" s="539"/>
      <c r="L10" s="540"/>
      <c r="M10" s="368"/>
      <c r="N10" s="368"/>
      <c r="O10" s="368"/>
    </row>
    <row r="11" spans="1:15">
      <c r="A11" s="132"/>
      <c r="B11" s="1661"/>
      <c r="C11" s="162"/>
      <c r="D11" s="163" t="s">
        <v>695</v>
      </c>
      <c r="E11" s="1655" t="s">
        <v>1336</v>
      </c>
      <c r="F11" s="1656"/>
      <c r="G11" s="1656"/>
      <c r="H11" s="1657"/>
      <c r="I11" s="539"/>
      <c r="J11" s="539"/>
      <c r="K11" s="539"/>
      <c r="L11" s="540"/>
      <c r="M11" s="368"/>
      <c r="N11" s="368"/>
      <c r="O11" s="368"/>
    </row>
    <row r="12" spans="1:15">
      <c r="A12" s="132"/>
      <c r="B12" s="1661"/>
      <c r="C12" s="162"/>
      <c r="D12" s="164" t="s">
        <v>696</v>
      </c>
      <c r="E12" s="1655" t="s">
        <v>1337</v>
      </c>
      <c r="F12" s="1656"/>
      <c r="G12" s="1656"/>
      <c r="H12" s="1657"/>
      <c r="I12" s="539"/>
      <c r="J12" s="539"/>
      <c r="K12" s="539"/>
      <c r="L12" s="540"/>
      <c r="M12" s="368"/>
      <c r="N12" s="368"/>
      <c r="O12" s="368"/>
    </row>
    <row r="13" spans="1:15">
      <c r="A13" s="132"/>
      <c r="B13" s="1661"/>
      <c r="C13" s="162"/>
      <c r="D13" s="163" t="s">
        <v>697</v>
      </c>
      <c r="E13" s="1655" t="s">
        <v>1338</v>
      </c>
      <c r="F13" s="1656"/>
      <c r="G13" s="1656"/>
      <c r="H13" s="1657"/>
      <c r="I13" s="539"/>
      <c r="J13" s="539"/>
      <c r="K13" s="539"/>
      <c r="L13" s="540"/>
      <c r="M13" s="368"/>
      <c r="N13" s="368"/>
      <c r="O13" s="368"/>
    </row>
    <row r="14" spans="1:15">
      <c r="A14" s="132"/>
      <c r="B14" s="1661"/>
      <c r="C14" s="162"/>
      <c r="D14" s="163" t="s">
        <v>698</v>
      </c>
      <c r="E14" s="1655" t="s">
        <v>1339</v>
      </c>
      <c r="F14" s="1656"/>
      <c r="G14" s="1656"/>
      <c r="H14" s="1657"/>
      <c r="I14" s="539"/>
      <c r="J14" s="539"/>
      <c r="K14" s="539"/>
      <c r="L14" s="540"/>
      <c r="M14" s="368"/>
      <c r="N14" s="368"/>
      <c r="O14" s="368"/>
    </row>
    <row r="15" spans="1:15" ht="15" customHeight="1">
      <c r="A15" s="132"/>
      <c r="B15" s="1661"/>
      <c r="C15" s="162"/>
      <c r="D15" s="165" t="s">
        <v>699</v>
      </c>
      <c r="E15" s="1655" t="s">
        <v>1340</v>
      </c>
      <c r="F15" s="1656"/>
      <c r="G15" s="1656"/>
      <c r="H15" s="1657"/>
      <c r="I15" s="539"/>
      <c r="J15" s="539"/>
      <c r="K15" s="539"/>
      <c r="L15" s="540"/>
      <c r="M15" s="368"/>
      <c r="N15" s="368"/>
      <c r="O15" s="368"/>
    </row>
    <row r="16" spans="1:15">
      <c r="A16" s="132"/>
      <c r="B16" s="1661"/>
      <c r="C16" s="162"/>
      <c r="D16" s="166" t="s">
        <v>700</v>
      </c>
      <c r="E16" s="167" t="s">
        <v>107</v>
      </c>
      <c r="F16" s="1336" t="s">
        <v>405</v>
      </c>
      <c r="G16" s="1673"/>
      <c r="H16" s="1390"/>
      <c r="I16" s="541"/>
      <c r="J16" s="541"/>
      <c r="K16" s="541"/>
      <c r="L16" s="542"/>
      <c r="M16" s="368"/>
      <c r="N16" s="368"/>
      <c r="O16" s="368"/>
    </row>
    <row r="17" spans="1:15" ht="15.75" thickBot="1">
      <c r="A17" s="132"/>
      <c r="B17" s="1661"/>
      <c r="C17" s="162"/>
      <c r="D17" s="168" t="s">
        <v>702</v>
      </c>
      <c r="E17" s="167" t="s">
        <v>107</v>
      </c>
      <c r="F17" s="1324" t="s">
        <v>405</v>
      </c>
      <c r="G17" s="1674"/>
      <c r="H17" s="1325"/>
      <c r="I17" s="543"/>
      <c r="J17" s="543"/>
      <c r="K17" s="543"/>
      <c r="L17" s="544"/>
      <c r="M17" s="368"/>
      <c r="N17" s="368"/>
      <c r="O17" s="368"/>
    </row>
    <row r="18" spans="1:15" ht="15.75" thickBot="1">
      <c r="A18" s="132"/>
      <c r="B18" s="1661"/>
      <c r="C18" s="169"/>
      <c r="D18" s="1662" t="s">
        <v>703</v>
      </c>
      <c r="E18" s="1663"/>
      <c r="F18" s="1663"/>
      <c r="G18" s="1663"/>
      <c r="H18" s="339"/>
      <c r="I18" s="170">
        <f>SUM(I9:I17)</f>
        <v>0</v>
      </c>
      <c r="J18" s="170">
        <f>SUM(J9:J17)</f>
        <v>0</v>
      </c>
      <c r="K18" s="170">
        <f>SUM(K9:K17)</f>
        <v>0</v>
      </c>
      <c r="L18" s="170">
        <f>SUM(L9:L17)</f>
        <v>0</v>
      </c>
      <c r="M18" s="368"/>
      <c r="N18" s="368"/>
      <c r="O18" s="368"/>
    </row>
    <row r="19" spans="1:15" ht="39" customHeight="1">
      <c r="A19" s="382"/>
      <c r="B19" s="1681" t="s">
        <v>111</v>
      </c>
      <c r="C19" s="1684" t="s">
        <v>1175</v>
      </c>
      <c r="D19" s="1684"/>
      <c r="E19" s="1684"/>
      <c r="F19" s="1684"/>
      <c r="G19" s="1684"/>
      <c r="H19" s="1684"/>
      <c r="I19" s="1684"/>
      <c r="J19" s="1685"/>
      <c r="K19" s="1614"/>
      <c r="L19" s="1616"/>
      <c r="M19" s="374"/>
      <c r="N19" s="368"/>
      <c r="O19" s="368"/>
    </row>
    <row r="20" spans="1:15" ht="28.5" customHeight="1">
      <c r="A20" s="382"/>
      <c r="B20" s="1682"/>
      <c r="C20" s="1686" t="s">
        <v>510</v>
      </c>
      <c r="D20" s="1686"/>
      <c r="E20" s="1687"/>
      <c r="F20" s="1636" t="s">
        <v>945</v>
      </c>
      <c r="G20" s="1637"/>
      <c r="H20" s="1688" t="s">
        <v>497</v>
      </c>
      <c r="I20" s="1689"/>
      <c r="J20" s="1689"/>
      <c r="K20" s="1689"/>
      <c r="L20" s="1690"/>
      <c r="M20" s="374"/>
      <c r="N20" s="368"/>
      <c r="O20" s="368"/>
    </row>
    <row r="21" spans="1:15" ht="15" customHeight="1">
      <c r="A21" s="382"/>
      <c r="B21" s="1682"/>
      <c r="C21" s="1632" t="s">
        <v>807</v>
      </c>
      <c r="D21" s="1632"/>
      <c r="E21" s="1633"/>
      <c r="F21" s="1630"/>
      <c r="G21" s="1631"/>
      <c r="H21" s="1627"/>
      <c r="I21" s="1628"/>
      <c r="J21" s="1628"/>
      <c r="K21" s="1628"/>
      <c r="L21" s="1629"/>
      <c r="M21" s="374"/>
      <c r="N21" s="368"/>
      <c r="O21" s="368"/>
    </row>
    <row r="22" spans="1:15" ht="15" customHeight="1">
      <c r="A22" s="382"/>
      <c r="B22" s="1682"/>
      <c r="C22" s="1632" t="s">
        <v>808</v>
      </c>
      <c r="D22" s="1632"/>
      <c r="E22" s="1633"/>
      <c r="F22" s="1630"/>
      <c r="G22" s="1631"/>
      <c r="H22" s="1627"/>
      <c r="I22" s="1628"/>
      <c r="J22" s="1628"/>
      <c r="K22" s="1628"/>
      <c r="L22" s="1629"/>
      <c r="M22" s="374"/>
      <c r="N22" s="368"/>
      <c r="O22" s="368"/>
    </row>
    <row r="23" spans="1:15" ht="15" customHeight="1">
      <c r="A23" s="382"/>
      <c r="B23" s="1682"/>
      <c r="C23" s="1632" t="s">
        <v>946</v>
      </c>
      <c r="D23" s="1632"/>
      <c r="E23" s="1633"/>
      <c r="F23" s="1630"/>
      <c r="G23" s="1631"/>
      <c r="H23" s="1627"/>
      <c r="I23" s="1628"/>
      <c r="J23" s="1628"/>
      <c r="K23" s="1628"/>
      <c r="L23" s="1629"/>
      <c r="M23" s="374"/>
      <c r="N23" s="368"/>
      <c r="O23" s="368"/>
    </row>
    <row r="24" spans="1:15" ht="15" customHeight="1">
      <c r="A24" s="382"/>
      <c r="B24" s="1682"/>
      <c r="C24" s="1632" t="s">
        <v>947</v>
      </c>
      <c r="D24" s="1632"/>
      <c r="E24" s="1633"/>
      <c r="F24" s="1630"/>
      <c r="G24" s="1631"/>
      <c r="H24" s="1627"/>
      <c r="I24" s="1628"/>
      <c r="J24" s="1628"/>
      <c r="K24" s="1628"/>
      <c r="L24" s="1629"/>
      <c r="M24" s="374"/>
      <c r="N24" s="368"/>
      <c r="O24" s="368"/>
    </row>
    <row r="25" spans="1:15" ht="15" customHeight="1">
      <c r="A25" s="382"/>
      <c r="B25" s="1682"/>
      <c r="C25" s="1632" t="s">
        <v>809</v>
      </c>
      <c r="D25" s="1632"/>
      <c r="E25" s="1633"/>
      <c r="F25" s="1630"/>
      <c r="G25" s="1631"/>
      <c r="H25" s="1627"/>
      <c r="I25" s="1628"/>
      <c r="J25" s="1628"/>
      <c r="K25" s="1628"/>
      <c r="L25" s="1629"/>
      <c r="M25" s="374"/>
      <c r="N25" s="368"/>
      <c r="O25" s="368"/>
    </row>
    <row r="26" spans="1:15" ht="15" customHeight="1">
      <c r="A26" s="382"/>
      <c r="B26" s="1682"/>
      <c r="C26" s="1632" t="s">
        <v>810</v>
      </c>
      <c r="D26" s="1632"/>
      <c r="E26" s="1632"/>
      <c r="F26" s="1630"/>
      <c r="G26" s="1631"/>
      <c r="H26" s="1627"/>
      <c r="I26" s="1628"/>
      <c r="J26" s="1628"/>
      <c r="K26" s="1628"/>
      <c r="L26" s="1629"/>
      <c r="M26" s="374"/>
      <c r="N26" s="368"/>
      <c r="O26" s="368"/>
    </row>
    <row r="27" spans="1:15" ht="15" customHeight="1">
      <c r="A27" s="382"/>
      <c r="B27" s="1682"/>
      <c r="C27" s="1632" t="s">
        <v>811</v>
      </c>
      <c r="D27" s="1632"/>
      <c r="E27" s="1633"/>
      <c r="F27" s="1630"/>
      <c r="G27" s="1631"/>
      <c r="H27" s="1627"/>
      <c r="I27" s="1628"/>
      <c r="J27" s="1628"/>
      <c r="K27" s="1628"/>
      <c r="L27" s="1629"/>
      <c r="M27" s="374"/>
      <c r="N27" s="368"/>
      <c r="O27" s="368"/>
    </row>
    <row r="28" spans="1:15" ht="15" customHeight="1">
      <c r="A28" s="382"/>
      <c r="B28" s="1682"/>
      <c r="C28" s="1635" t="s">
        <v>1282</v>
      </c>
      <c r="D28" s="1632"/>
      <c r="E28" s="1633"/>
      <c r="F28" s="1630"/>
      <c r="G28" s="1631"/>
      <c r="H28" s="1627"/>
      <c r="I28" s="1628"/>
      <c r="J28" s="1628"/>
      <c r="K28" s="1628"/>
      <c r="L28" s="1629"/>
      <c r="M28" s="374"/>
      <c r="N28" s="368"/>
      <c r="O28" s="368"/>
    </row>
    <row r="29" spans="1:15" ht="15" customHeight="1">
      <c r="A29" s="382"/>
      <c r="B29" s="1682"/>
      <c r="C29" s="1635" t="s">
        <v>1283</v>
      </c>
      <c r="D29" s="1632"/>
      <c r="E29" s="1633"/>
      <c r="F29" s="1630"/>
      <c r="G29" s="1631"/>
      <c r="H29" s="1627"/>
      <c r="I29" s="1628"/>
      <c r="J29" s="1628"/>
      <c r="K29" s="1628"/>
      <c r="L29" s="1629"/>
      <c r="M29" s="374"/>
      <c r="N29" s="368"/>
      <c r="O29" s="368"/>
    </row>
    <row r="30" spans="1:15" ht="15" customHeight="1">
      <c r="A30" s="382"/>
      <c r="B30" s="1682"/>
      <c r="C30" s="1632" t="s">
        <v>812</v>
      </c>
      <c r="D30" s="1632"/>
      <c r="E30" s="1633"/>
      <c r="F30" s="1630"/>
      <c r="G30" s="1631"/>
      <c r="H30" s="1627"/>
      <c r="I30" s="1628"/>
      <c r="J30" s="1628"/>
      <c r="K30" s="1628"/>
      <c r="L30" s="1629"/>
      <c r="M30" s="374"/>
      <c r="N30" s="368"/>
      <c r="O30" s="368"/>
    </row>
    <row r="31" spans="1:15" ht="15" customHeight="1">
      <c r="A31" s="382"/>
      <c r="B31" s="1682"/>
      <c r="C31" s="1632" t="s">
        <v>813</v>
      </c>
      <c r="D31" s="1632"/>
      <c r="E31" s="1633"/>
      <c r="F31" s="1630"/>
      <c r="G31" s="1631"/>
      <c r="H31" s="1627"/>
      <c r="I31" s="1628"/>
      <c r="J31" s="1628"/>
      <c r="K31" s="1628"/>
      <c r="L31" s="1629"/>
      <c r="M31" s="374"/>
      <c r="N31" s="368"/>
      <c r="O31" s="368"/>
    </row>
    <row r="32" spans="1:15" ht="15" customHeight="1">
      <c r="A32" s="382"/>
      <c r="B32" s="1682"/>
      <c r="C32" s="1632" t="s">
        <v>814</v>
      </c>
      <c r="D32" s="1632"/>
      <c r="E32" s="1632"/>
      <c r="F32" s="1630"/>
      <c r="G32" s="1631"/>
      <c r="H32" s="1627"/>
      <c r="I32" s="1628"/>
      <c r="J32" s="1628"/>
      <c r="K32" s="1628"/>
      <c r="L32" s="1629"/>
      <c r="M32" s="374"/>
      <c r="N32" s="368"/>
      <c r="O32" s="368"/>
    </row>
    <row r="33" spans="1:15" ht="15" customHeight="1">
      <c r="A33" s="382"/>
      <c r="B33" s="1682"/>
      <c r="C33" s="1632" t="s">
        <v>815</v>
      </c>
      <c r="D33" s="1632"/>
      <c r="E33" s="1632"/>
      <c r="F33" s="1630"/>
      <c r="G33" s="1631"/>
      <c r="H33" s="1627"/>
      <c r="I33" s="1628"/>
      <c r="J33" s="1628"/>
      <c r="K33" s="1628"/>
      <c r="L33" s="1629"/>
      <c r="M33" s="374"/>
      <c r="N33" s="368"/>
      <c r="O33" s="368"/>
    </row>
    <row r="34" spans="1:15" ht="15" customHeight="1">
      <c r="A34" s="382"/>
      <c r="B34" s="1682"/>
      <c r="C34" s="1635" t="s">
        <v>816</v>
      </c>
      <c r="D34" s="1632"/>
      <c r="E34" s="1633"/>
      <c r="F34" s="1630"/>
      <c r="G34" s="1631"/>
      <c r="H34" s="1627"/>
      <c r="I34" s="1628"/>
      <c r="J34" s="1628"/>
      <c r="K34" s="1628"/>
      <c r="L34" s="1629"/>
      <c r="M34" s="374"/>
      <c r="N34" s="368"/>
      <c r="O34" s="368"/>
    </row>
    <row r="35" spans="1:15" ht="15" customHeight="1">
      <c r="A35" s="382"/>
      <c r="B35" s="1682"/>
      <c r="C35" s="1635" t="s">
        <v>817</v>
      </c>
      <c r="D35" s="1632"/>
      <c r="E35" s="1633"/>
      <c r="F35" s="1630"/>
      <c r="G35" s="1631"/>
      <c r="H35" s="1627"/>
      <c r="I35" s="1628"/>
      <c r="J35" s="1628"/>
      <c r="K35" s="1628"/>
      <c r="L35" s="1629"/>
      <c r="M35" s="374"/>
      <c r="N35" s="368"/>
      <c r="O35" s="368"/>
    </row>
    <row r="36" spans="1:15" ht="15" customHeight="1">
      <c r="A36" s="382"/>
      <c r="B36" s="1682"/>
      <c r="C36" s="1632" t="s">
        <v>818</v>
      </c>
      <c r="D36" s="1632"/>
      <c r="E36" s="1632"/>
      <c r="F36" s="1630"/>
      <c r="G36" s="1631"/>
      <c r="H36" s="1627"/>
      <c r="I36" s="1628"/>
      <c r="J36" s="1628"/>
      <c r="K36" s="1628"/>
      <c r="L36" s="1629"/>
      <c r="M36" s="374"/>
      <c r="N36" s="368"/>
      <c r="O36" s="368"/>
    </row>
    <row r="37" spans="1:15" ht="15" customHeight="1">
      <c r="A37" s="382"/>
      <c r="B37" s="1682"/>
      <c r="C37" s="1632" t="s">
        <v>819</v>
      </c>
      <c r="D37" s="1632"/>
      <c r="E37" s="1654"/>
      <c r="F37" s="1630"/>
      <c r="G37" s="1631"/>
      <c r="H37" s="1627"/>
      <c r="I37" s="1628"/>
      <c r="J37" s="1628"/>
      <c r="K37" s="1628"/>
      <c r="L37" s="1629"/>
      <c r="M37" s="374"/>
      <c r="N37" s="368"/>
      <c r="O37" s="368"/>
    </row>
    <row r="38" spans="1:15" ht="15" customHeight="1" thickBot="1">
      <c r="A38" s="382"/>
      <c r="B38" s="1683"/>
      <c r="C38" s="1634" t="s">
        <v>107</v>
      </c>
      <c r="D38" s="1634"/>
      <c r="E38" s="459" t="s">
        <v>405</v>
      </c>
      <c r="F38" s="1630"/>
      <c r="G38" s="1631"/>
      <c r="H38" s="1627"/>
      <c r="I38" s="1628"/>
      <c r="J38" s="1628"/>
      <c r="K38" s="1628"/>
      <c r="L38" s="1629"/>
      <c r="M38" s="374"/>
      <c r="N38" s="368"/>
      <c r="O38" s="368"/>
    </row>
    <row r="39" spans="1:15" ht="22.5" customHeight="1">
      <c r="A39" s="381"/>
      <c r="B39" s="1148" t="s">
        <v>112</v>
      </c>
      <c r="C39" s="784" t="s">
        <v>948</v>
      </c>
      <c r="D39" s="785"/>
      <c r="E39" s="785"/>
      <c r="F39" s="785"/>
      <c r="G39" s="785"/>
      <c r="H39" s="785"/>
      <c r="I39" s="785"/>
      <c r="J39" s="785"/>
      <c r="K39" s="785"/>
      <c r="L39" s="786"/>
      <c r="M39" s="368"/>
      <c r="N39" s="368"/>
      <c r="O39" s="368"/>
    </row>
    <row r="40" spans="1:15" ht="15" customHeight="1">
      <c r="A40" s="381"/>
      <c r="B40" s="1149"/>
      <c r="C40" s="1618" t="s">
        <v>949</v>
      </c>
      <c r="D40" s="1619"/>
      <c r="E40" s="1619"/>
      <c r="F40" s="1620"/>
      <c r="G40" s="383" t="s">
        <v>450</v>
      </c>
      <c r="H40" s="787" t="s">
        <v>497</v>
      </c>
      <c r="I40" s="788"/>
      <c r="J40" s="788"/>
      <c r="K40" s="788"/>
      <c r="L40" s="1645"/>
      <c r="M40" s="368"/>
      <c r="N40" s="368"/>
      <c r="O40" s="368"/>
    </row>
    <row r="41" spans="1:15" ht="15" customHeight="1">
      <c r="A41" s="381"/>
      <c r="B41" s="1149"/>
      <c r="C41" s="1412" t="s">
        <v>956</v>
      </c>
      <c r="D41" s="1412"/>
      <c r="E41" s="1412"/>
      <c r="F41" s="1625"/>
      <c r="G41" s="545"/>
      <c r="H41" s="1327"/>
      <c r="I41" s="1198"/>
      <c r="J41" s="1198"/>
      <c r="K41" s="1198"/>
      <c r="L41" s="1199"/>
      <c r="M41" s="368"/>
      <c r="N41" s="368"/>
      <c r="O41" s="368"/>
    </row>
    <row r="42" spans="1:15" ht="15" customHeight="1">
      <c r="A42" s="381"/>
      <c r="B42" s="1149"/>
      <c r="C42" s="1412" t="s">
        <v>955</v>
      </c>
      <c r="D42" s="1412"/>
      <c r="E42" s="1412"/>
      <c r="F42" s="1625"/>
      <c r="G42" s="545"/>
      <c r="H42" s="1327"/>
      <c r="I42" s="1198"/>
      <c r="J42" s="1198"/>
      <c r="K42" s="1198"/>
      <c r="L42" s="1199"/>
      <c r="M42" s="368"/>
      <c r="N42" s="368"/>
      <c r="O42" s="368"/>
    </row>
    <row r="43" spans="1:15" ht="15" customHeight="1">
      <c r="A43" s="381"/>
      <c r="B43" s="1149"/>
      <c r="C43" s="1412" t="s">
        <v>954</v>
      </c>
      <c r="D43" s="1412"/>
      <c r="E43" s="1412"/>
      <c r="F43" s="1625"/>
      <c r="G43" s="545"/>
      <c r="H43" s="1327"/>
      <c r="I43" s="1198"/>
      <c r="J43" s="1198"/>
      <c r="K43" s="1198"/>
      <c r="L43" s="1199"/>
      <c r="M43" s="368"/>
      <c r="N43" s="368"/>
      <c r="O43" s="368"/>
    </row>
    <row r="44" spans="1:15" ht="15" customHeight="1">
      <c r="A44" s="381"/>
      <c r="B44" s="1149"/>
      <c r="C44" s="1412" t="s">
        <v>953</v>
      </c>
      <c r="D44" s="1412"/>
      <c r="E44" s="1412"/>
      <c r="F44" s="1625"/>
      <c r="G44" s="545"/>
      <c r="H44" s="1327"/>
      <c r="I44" s="1198"/>
      <c r="J44" s="1198"/>
      <c r="K44" s="1198"/>
      <c r="L44" s="1199"/>
      <c r="M44" s="368"/>
      <c r="N44" s="368"/>
      <c r="O44" s="368"/>
    </row>
    <row r="45" spans="1:15" ht="15" customHeight="1">
      <c r="A45" s="381"/>
      <c r="B45" s="1149"/>
      <c r="C45" s="1412" t="s">
        <v>950</v>
      </c>
      <c r="D45" s="1412"/>
      <c r="E45" s="1412"/>
      <c r="F45" s="1625"/>
      <c r="G45" s="545"/>
      <c r="H45" s="1327"/>
      <c r="I45" s="1198"/>
      <c r="J45" s="1198"/>
      <c r="K45" s="1198"/>
      <c r="L45" s="1199"/>
      <c r="M45" s="368"/>
      <c r="N45" s="368"/>
      <c r="O45" s="368"/>
    </row>
    <row r="46" spans="1:15" ht="15" customHeight="1">
      <c r="A46" s="381"/>
      <c r="B46" s="1149"/>
      <c r="C46" s="1412" t="s">
        <v>951</v>
      </c>
      <c r="D46" s="1412"/>
      <c r="E46" s="1412"/>
      <c r="F46" s="1625"/>
      <c r="G46" s="545"/>
      <c r="H46" s="1327"/>
      <c r="I46" s="1198"/>
      <c r="J46" s="1198"/>
      <c r="K46" s="1198"/>
      <c r="L46" s="1199"/>
      <c r="M46" s="368"/>
      <c r="N46" s="368"/>
      <c r="O46" s="368"/>
    </row>
    <row r="47" spans="1:15" ht="15" customHeight="1">
      <c r="A47" s="381"/>
      <c r="B47" s="1149"/>
      <c r="C47" s="1412" t="s">
        <v>952</v>
      </c>
      <c r="D47" s="1412"/>
      <c r="E47" s="1626"/>
      <c r="F47" s="1334"/>
      <c r="G47" s="545"/>
      <c r="H47" s="1327"/>
      <c r="I47" s="1198"/>
      <c r="J47" s="1198"/>
      <c r="K47" s="1198"/>
      <c r="L47" s="1199"/>
      <c r="M47" s="368"/>
      <c r="N47" s="368"/>
      <c r="O47" s="368"/>
    </row>
    <row r="48" spans="1:15" ht="15" customHeight="1">
      <c r="A48" s="381"/>
      <c r="B48" s="1149"/>
      <c r="C48" s="1369" t="s">
        <v>107</v>
      </c>
      <c r="D48" s="1370"/>
      <c r="E48" s="1309" t="s">
        <v>405</v>
      </c>
      <c r="F48" s="1388"/>
      <c r="G48" s="462"/>
      <c r="H48" s="1327"/>
      <c r="I48" s="1198"/>
      <c r="J48" s="1198"/>
      <c r="K48" s="1198"/>
      <c r="L48" s="1199"/>
      <c r="M48" s="368"/>
      <c r="N48" s="368"/>
      <c r="O48" s="368"/>
    </row>
    <row r="49" spans="1:15" ht="15.75" customHeight="1" thickBot="1">
      <c r="A49" s="381"/>
      <c r="B49" s="1149"/>
      <c r="C49" s="772" t="s">
        <v>107</v>
      </c>
      <c r="D49" s="773"/>
      <c r="E49" s="1324" t="s">
        <v>405</v>
      </c>
      <c r="F49" s="1325"/>
      <c r="G49" s="545"/>
      <c r="H49" s="1327"/>
      <c r="I49" s="1198"/>
      <c r="J49" s="1198"/>
      <c r="K49" s="1198"/>
      <c r="L49" s="1199"/>
      <c r="M49" s="368"/>
      <c r="N49" s="368"/>
      <c r="O49" s="368"/>
    </row>
    <row r="50" spans="1:15" ht="30" customHeight="1" thickBot="1">
      <c r="A50" s="132"/>
      <c r="B50" s="1638" t="s">
        <v>48</v>
      </c>
      <c r="C50" s="1639"/>
      <c r="D50" s="1640"/>
      <c r="E50" s="1641"/>
      <c r="F50" s="340"/>
      <c r="G50" s="1642"/>
      <c r="H50" s="1643"/>
      <c r="I50" s="1643"/>
      <c r="J50" s="1643"/>
      <c r="K50" s="1643"/>
      <c r="L50" s="1644"/>
      <c r="M50" s="368"/>
      <c r="N50" s="368"/>
      <c r="O50" s="368"/>
    </row>
    <row r="51" spans="1:15">
      <c r="A51" s="381"/>
      <c r="B51" s="1651" t="s">
        <v>4</v>
      </c>
      <c r="C51" s="1652"/>
      <c r="D51" s="1652"/>
      <c r="E51" s="1652"/>
      <c r="F51" s="1652"/>
      <c r="G51" s="1652"/>
      <c r="H51" s="1652"/>
      <c r="I51" s="1652"/>
      <c r="J51" s="1652"/>
      <c r="K51" s="1652"/>
      <c r="L51" s="1653"/>
      <c r="M51" s="368"/>
      <c r="N51" s="368"/>
      <c r="O51" s="368"/>
    </row>
    <row r="52" spans="1:15" ht="15.75" thickBot="1">
      <c r="A52" s="381"/>
      <c r="B52" s="1170"/>
      <c r="C52" s="1171"/>
      <c r="D52" s="1171"/>
      <c r="E52" s="1171"/>
      <c r="F52" s="1171"/>
      <c r="G52" s="1171"/>
      <c r="H52" s="1171"/>
      <c r="I52" s="1171"/>
      <c r="J52" s="1171"/>
      <c r="K52" s="1171"/>
      <c r="L52" s="1172"/>
      <c r="M52" s="368"/>
      <c r="N52" s="368"/>
      <c r="O52" s="368"/>
    </row>
  </sheetData>
  <sheetProtection password="C288" sheet="1"/>
  <mergeCells count="109">
    <mergeCell ref="K19:L19"/>
    <mergeCell ref="C20:E20"/>
    <mergeCell ref="E12:H12"/>
    <mergeCell ref="E15:H15"/>
    <mergeCell ref="C34:E34"/>
    <mergeCell ref="H21:L21"/>
    <mergeCell ref="H20:L20"/>
    <mergeCell ref="C23:E23"/>
    <mergeCell ref="C24:E24"/>
    <mergeCell ref="E13:H13"/>
    <mergeCell ref="D7:H7"/>
    <mergeCell ref="F16:H16"/>
    <mergeCell ref="F17:H17"/>
    <mergeCell ref="C32:E32"/>
    <mergeCell ref="B2:E2"/>
    <mergeCell ref="B3:L3"/>
    <mergeCell ref="B4:L4"/>
    <mergeCell ref="B19:B38"/>
    <mergeCell ref="C19:J19"/>
    <mergeCell ref="C35:E35"/>
    <mergeCell ref="E14:H14"/>
    <mergeCell ref="C21:E21"/>
    <mergeCell ref="C22:E22"/>
    <mergeCell ref="M5:O7"/>
    <mergeCell ref="B7:B18"/>
    <mergeCell ref="D18:G18"/>
    <mergeCell ref="D8:H8"/>
    <mergeCell ref="E9:H9"/>
    <mergeCell ref="E10:H10"/>
    <mergeCell ref="E11:H11"/>
    <mergeCell ref="B5:H5"/>
    <mergeCell ref="B6:H6"/>
    <mergeCell ref="B51:L52"/>
    <mergeCell ref="B39:B49"/>
    <mergeCell ref="C39:L39"/>
    <mergeCell ref="C37:E37"/>
    <mergeCell ref="H44:L44"/>
    <mergeCell ref="C36:E36"/>
    <mergeCell ref="H41:L41"/>
    <mergeCell ref="H42:L42"/>
    <mergeCell ref="F38:G38"/>
    <mergeCell ref="H33:L33"/>
    <mergeCell ref="H34:L34"/>
    <mergeCell ref="H43:L43"/>
    <mergeCell ref="H40:L40"/>
    <mergeCell ref="F32:G32"/>
    <mergeCell ref="H32:L32"/>
    <mergeCell ref="H36:L36"/>
    <mergeCell ref="H37:L37"/>
    <mergeCell ref="H35:L35"/>
    <mergeCell ref="H22:L22"/>
    <mergeCell ref="H23:L23"/>
    <mergeCell ref="H24:L24"/>
    <mergeCell ref="B50:E50"/>
    <mergeCell ref="G50:L50"/>
    <mergeCell ref="C33:E33"/>
    <mergeCell ref="F34:G34"/>
    <mergeCell ref="F35:G35"/>
    <mergeCell ref="F36:G36"/>
    <mergeCell ref="F37:G37"/>
    <mergeCell ref="C29:E29"/>
    <mergeCell ref="F20:G20"/>
    <mergeCell ref="F21:G21"/>
    <mergeCell ref="F22:G22"/>
    <mergeCell ref="F23:G23"/>
    <mergeCell ref="F24:G24"/>
    <mergeCell ref="F25:G25"/>
    <mergeCell ref="F26:G26"/>
    <mergeCell ref="F27:G27"/>
    <mergeCell ref="F28:G28"/>
    <mergeCell ref="H38:L38"/>
    <mergeCell ref="C25:E25"/>
    <mergeCell ref="C26:E26"/>
    <mergeCell ref="C27:E27"/>
    <mergeCell ref="C30:E30"/>
    <mergeCell ref="C31:E31"/>
    <mergeCell ref="C38:D38"/>
    <mergeCell ref="F33:G33"/>
    <mergeCell ref="C28:E28"/>
    <mergeCell ref="F31:G31"/>
    <mergeCell ref="H25:L25"/>
    <mergeCell ref="H26:L26"/>
    <mergeCell ref="H27:L27"/>
    <mergeCell ref="H30:L30"/>
    <mergeCell ref="H31:L31"/>
    <mergeCell ref="F30:G30"/>
    <mergeCell ref="F29:G29"/>
    <mergeCell ref="H28:L28"/>
    <mergeCell ref="H29:L29"/>
    <mergeCell ref="H49:L49"/>
    <mergeCell ref="C41:F41"/>
    <mergeCell ref="C42:F42"/>
    <mergeCell ref="C43:F43"/>
    <mergeCell ref="C44:F44"/>
    <mergeCell ref="C45:F45"/>
    <mergeCell ref="C46:F46"/>
    <mergeCell ref="C47:F47"/>
    <mergeCell ref="C48:D48"/>
    <mergeCell ref="C49:D49"/>
    <mergeCell ref="F2:I2"/>
    <mergeCell ref="C40:F40"/>
    <mergeCell ref="I5:L5"/>
    <mergeCell ref="I6:L6"/>
    <mergeCell ref="E48:F48"/>
    <mergeCell ref="E49:F49"/>
    <mergeCell ref="H45:L45"/>
    <mergeCell ref="H46:L46"/>
    <mergeCell ref="H47:L47"/>
    <mergeCell ref="H48:L48"/>
  </mergeCells>
  <conditionalFormatting sqref="I18">
    <cfRule type="expression" dxfId="7" priority="13" stopIfTrue="1">
      <formula>I18&lt;&gt;1</formula>
    </cfRule>
    <cfRule type="expression" dxfId="6" priority="14" stopIfTrue="1">
      <formula>I18=1</formula>
    </cfRule>
  </conditionalFormatting>
  <conditionalFormatting sqref="J18">
    <cfRule type="expression" dxfId="5" priority="5" stopIfTrue="1">
      <formula>J18&lt;&gt;1</formula>
    </cfRule>
    <cfRule type="expression" dxfId="4" priority="6" stopIfTrue="1">
      <formula>J18=1</formula>
    </cfRule>
  </conditionalFormatting>
  <conditionalFormatting sqref="K18">
    <cfRule type="expression" dxfId="3" priority="3" stopIfTrue="1">
      <formula>K18&lt;&gt;1</formula>
    </cfRule>
    <cfRule type="expression" dxfId="2" priority="4" stopIfTrue="1">
      <formula>K18=1</formula>
    </cfRule>
  </conditionalFormatting>
  <conditionalFormatting sqref="L18">
    <cfRule type="expression" dxfId="1" priority="1" stopIfTrue="1">
      <formula>L18&lt;&gt;1</formula>
    </cfRule>
    <cfRule type="expression" dxfId="0" priority="2" stopIfTrue="1">
      <formula>L18=1</formula>
    </cfRule>
  </conditionalFormatting>
  <dataValidations count="4">
    <dataValidation type="list" allowBlank="1" showInputMessage="1" showErrorMessage="1" sqref="I6:L6">
      <formula1>YearType</formula1>
    </dataValidation>
    <dataValidation type="list" allowBlank="1" showInputMessage="1" showErrorMessage="1" sqref="I5:L5">
      <formula1>Level</formula1>
    </dataValidation>
    <dataValidation type="list" allowBlank="1" showInputMessage="1" showErrorMessage="1" sqref="F21:G38">
      <formula1>DiffWorkforce</formula1>
    </dataValidation>
    <dataValidation type="list" allowBlank="1" showInputMessage="1" showErrorMessage="1" sqref="G41:G49 K19:L19">
      <formula1>YesNo</formula1>
    </dataValidation>
  </dataValidations>
  <hyperlinks>
    <hyperlink ref="L2" location="'11b'!A1" tooltip="Workforce (continued)" display="Next Page"/>
    <hyperlink ref="B2:E2" location="'10'!A1" tooltip="Capital Expenditures" display="Previous Page"/>
  </hyperlinks>
  <pageMargins left="0.25" right="0.25" top="0.75" bottom="0.75" header="0.3" footer="0.3"/>
  <pageSetup scale="58" orientation="landscape" cellComments="atEnd" verticalDpi="0" r:id="rId1"/>
  <headerFooter>
    <oddHeader>&amp;F</oddHeader>
    <oddFoote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showGridLines="0" showRowColHeaders="0" zoomScaleNormal="100" workbookViewId="0"/>
  </sheetViews>
  <sheetFormatPr defaultRowHeight="12.75"/>
  <cols>
    <col min="1" max="1" width="9.140625" style="368"/>
    <col min="2" max="2" width="3" style="368" customWidth="1"/>
    <col min="3" max="3" width="12.7109375" style="368" customWidth="1"/>
    <col min="4" max="4" width="3.7109375" style="368" customWidth="1"/>
    <col min="5" max="5" width="26.7109375" style="368" customWidth="1"/>
    <col min="6" max="13" width="9.85546875" style="368" customWidth="1"/>
    <col min="14" max="16384" width="9.140625" style="368"/>
  </cols>
  <sheetData>
    <row r="1" spans="1:16" ht="13.5" thickBot="1">
      <c r="A1" s="12"/>
      <c r="B1" s="12"/>
      <c r="C1" s="12"/>
      <c r="D1" s="12"/>
      <c r="E1" s="12"/>
      <c r="F1" s="12"/>
      <c r="G1" s="12"/>
      <c r="H1" s="12"/>
      <c r="I1" s="12"/>
      <c r="J1" s="12"/>
      <c r="K1" s="12"/>
      <c r="L1" s="12"/>
      <c r="M1" s="12"/>
    </row>
    <row r="2" spans="1:16" ht="13.5" customHeight="1" thickBot="1">
      <c r="A2" s="228"/>
      <c r="B2" s="655" t="s">
        <v>487</v>
      </c>
      <c r="C2" s="656"/>
      <c r="D2" s="656"/>
      <c r="E2" s="15"/>
      <c r="F2" s="1617" t="s">
        <v>1204</v>
      </c>
      <c r="G2" s="1617"/>
      <c r="H2" s="1617"/>
      <c r="I2" s="1617"/>
      <c r="J2" s="156"/>
      <c r="K2" s="157"/>
      <c r="L2" s="157"/>
      <c r="M2" s="574" t="s">
        <v>486</v>
      </c>
      <c r="N2" s="369"/>
      <c r="O2" s="369"/>
      <c r="P2" s="369"/>
    </row>
    <row r="3" spans="1:16" ht="13.5" customHeight="1" thickBot="1">
      <c r="A3" s="12"/>
      <c r="B3" s="1675" t="s">
        <v>846</v>
      </c>
      <c r="C3" s="1676"/>
      <c r="D3" s="1676"/>
      <c r="E3" s="1676"/>
      <c r="F3" s="1676"/>
      <c r="G3" s="1676"/>
      <c r="H3" s="1676"/>
      <c r="I3" s="1676"/>
      <c r="J3" s="1676"/>
      <c r="K3" s="1190"/>
      <c r="L3" s="1676"/>
      <c r="M3" s="1677"/>
    </row>
    <row r="4" spans="1:16" ht="30" customHeight="1">
      <c r="A4" s="12"/>
      <c r="B4" s="1737" t="s">
        <v>5</v>
      </c>
      <c r="C4" s="1691" t="s">
        <v>2250</v>
      </c>
      <c r="D4" s="1692"/>
      <c r="E4" s="1692"/>
      <c r="F4" s="1692"/>
      <c r="G4" s="1692"/>
      <c r="H4" s="1692"/>
      <c r="I4" s="1692"/>
      <c r="J4" s="1693"/>
      <c r="K4" s="546"/>
      <c r="L4" s="370"/>
      <c r="M4" s="371"/>
    </row>
    <row r="5" spans="1:16" ht="30" customHeight="1">
      <c r="A5" s="12"/>
      <c r="B5" s="1738"/>
      <c r="C5" s="1694" t="s">
        <v>1202</v>
      </c>
      <c r="D5" s="1695"/>
      <c r="E5" s="1695"/>
      <c r="F5" s="1695"/>
      <c r="G5" s="1695"/>
      <c r="H5" s="1695"/>
      <c r="I5" s="1695"/>
      <c r="J5" s="1695"/>
      <c r="K5" s="546"/>
      <c r="L5" s="372"/>
      <c r="M5" s="373"/>
    </row>
    <row r="6" spans="1:16" ht="30" customHeight="1" thickBot="1">
      <c r="A6" s="12"/>
      <c r="B6" s="1739"/>
      <c r="C6" s="1735" t="s">
        <v>448</v>
      </c>
      <c r="D6" s="1736"/>
      <c r="E6" s="1740"/>
      <c r="F6" s="1741"/>
      <c r="G6" s="1741"/>
      <c r="H6" s="1741"/>
      <c r="I6" s="1741"/>
      <c r="J6" s="1741"/>
      <c r="K6" s="1741"/>
      <c r="L6" s="1741"/>
      <c r="M6" s="1742"/>
    </row>
    <row r="7" spans="1:16" ht="46.5" customHeight="1">
      <c r="A7" s="62"/>
      <c r="B7" s="1681" t="s">
        <v>111</v>
      </c>
      <c r="C7" s="1070" t="s">
        <v>2252</v>
      </c>
      <c r="D7" s="1070"/>
      <c r="E7" s="1070"/>
      <c r="F7" s="1070"/>
      <c r="G7" s="1070"/>
      <c r="H7" s="1070"/>
      <c r="I7" s="1070"/>
      <c r="J7" s="1070"/>
      <c r="K7" s="1070"/>
      <c r="L7" s="1070"/>
      <c r="M7" s="1071"/>
      <c r="N7" s="374"/>
    </row>
    <row r="8" spans="1:16" ht="15" customHeight="1">
      <c r="A8" s="62"/>
      <c r="B8" s="1682"/>
      <c r="C8" s="375"/>
      <c r="D8" s="375"/>
      <c r="E8" s="375"/>
      <c r="F8" s="1729" t="s">
        <v>820</v>
      </c>
      <c r="G8" s="1730"/>
      <c r="H8" s="1730"/>
      <c r="I8" s="1730"/>
      <c r="J8" s="1730"/>
      <c r="K8" s="1730"/>
      <c r="L8" s="1730"/>
      <c r="M8" s="1731"/>
      <c r="N8" s="374"/>
    </row>
    <row r="9" spans="1:16" ht="15" customHeight="1" thickBot="1">
      <c r="A9" s="62"/>
      <c r="B9" s="1682"/>
      <c r="C9" s="376"/>
      <c r="D9" s="376"/>
      <c r="E9" s="376"/>
      <c r="F9" s="1718" t="s">
        <v>821</v>
      </c>
      <c r="G9" s="1719"/>
      <c r="H9" s="1718" t="s">
        <v>822</v>
      </c>
      <c r="I9" s="1719"/>
      <c r="J9" s="1743" t="s">
        <v>823</v>
      </c>
      <c r="K9" s="1743"/>
      <c r="L9" s="1718" t="s">
        <v>824</v>
      </c>
      <c r="M9" s="1721"/>
      <c r="N9" s="374"/>
    </row>
    <row r="10" spans="1:16" ht="15" customHeight="1">
      <c r="A10" s="62"/>
      <c r="B10" s="1682"/>
      <c r="C10" s="1722" t="s">
        <v>827</v>
      </c>
      <c r="D10" s="1722"/>
      <c r="E10" s="377" t="s">
        <v>825</v>
      </c>
      <c r="F10" s="1711"/>
      <c r="G10" s="1712"/>
      <c r="H10" s="1711"/>
      <c r="I10" s="1705"/>
      <c r="J10" s="1727"/>
      <c r="K10" s="1728"/>
      <c r="L10" s="1711"/>
      <c r="M10" s="1706"/>
      <c r="N10" s="374"/>
    </row>
    <row r="11" spans="1:16" ht="15" customHeight="1" thickBot="1">
      <c r="A11" s="62"/>
      <c r="B11" s="1682"/>
      <c r="C11" s="1723"/>
      <c r="D11" s="1723"/>
      <c r="E11" s="378" t="s">
        <v>826</v>
      </c>
      <c r="F11" s="1724"/>
      <c r="G11" s="1725"/>
      <c r="H11" s="1726"/>
      <c r="I11" s="1713"/>
      <c r="J11" s="1724"/>
      <c r="K11" s="1725"/>
      <c r="L11" s="1713"/>
      <c r="M11" s="1714"/>
      <c r="N11" s="374"/>
    </row>
    <row r="12" spans="1:16" ht="39" customHeight="1">
      <c r="A12" s="62"/>
      <c r="B12" s="1682"/>
      <c r="C12" s="1733" t="s">
        <v>2251</v>
      </c>
      <c r="D12" s="1684"/>
      <c r="E12" s="1684"/>
      <c r="F12" s="1684"/>
      <c r="G12" s="1684"/>
      <c r="H12" s="1684"/>
      <c r="I12" s="1684"/>
      <c r="J12" s="1684"/>
      <c r="K12" s="1684"/>
      <c r="L12" s="1684"/>
      <c r="M12" s="1734"/>
      <c r="N12" s="374"/>
    </row>
    <row r="13" spans="1:16" ht="15" customHeight="1" thickBot="1">
      <c r="A13" s="62"/>
      <c r="B13" s="1682"/>
      <c r="C13" s="379"/>
      <c r="D13" s="379"/>
      <c r="E13" s="380"/>
      <c r="F13" s="1718" t="s">
        <v>825</v>
      </c>
      <c r="G13" s="1719"/>
      <c r="H13" s="1718" t="s">
        <v>825</v>
      </c>
      <c r="I13" s="1720"/>
      <c r="J13" s="1718" t="s">
        <v>825</v>
      </c>
      <c r="K13" s="1720"/>
      <c r="L13" s="1718" t="s">
        <v>825</v>
      </c>
      <c r="M13" s="1721"/>
      <c r="N13" s="374"/>
    </row>
    <row r="14" spans="1:16" ht="15" customHeight="1">
      <c r="A14" s="62"/>
      <c r="B14" s="1682"/>
      <c r="C14" s="1684" t="s">
        <v>807</v>
      </c>
      <c r="D14" s="1684"/>
      <c r="E14" s="1685"/>
      <c r="F14" s="1705"/>
      <c r="G14" s="1712"/>
      <c r="H14" s="1711"/>
      <c r="I14" s="1712"/>
      <c r="J14" s="1711"/>
      <c r="K14" s="1712"/>
      <c r="L14" s="1705"/>
      <c r="M14" s="1706"/>
      <c r="N14" s="374"/>
    </row>
    <row r="15" spans="1:16" ht="15" customHeight="1">
      <c r="A15" s="62"/>
      <c r="B15" s="1682"/>
      <c r="C15" s="1632" t="s">
        <v>808</v>
      </c>
      <c r="D15" s="1632"/>
      <c r="E15" s="1633"/>
      <c r="F15" s="1703"/>
      <c r="G15" s="1708"/>
      <c r="H15" s="1707"/>
      <c r="I15" s="1708"/>
      <c r="J15" s="1707"/>
      <c r="K15" s="1708"/>
      <c r="L15" s="1703"/>
      <c r="M15" s="1704"/>
      <c r="N15" s="374"/>
    </row>
    <row r="16" spans="1:16" ht="15" customHeight="1">
      <c r="A16" s="62"/>
      <c r="B16" s="1682"/>
      <c r="C16" s="1632" t="s">
        <v>946</v>
      </c>
      <c r="D16" s="1632"/>
      <c r="E16" s="1633"/>
      <c r="F16" s="1703"/>
      <c r="G16" s="1708"/>
      <c r="H16" s="1707"/>
      <c r="I16" s="1708"/>
      <c r="J16" s="1707"/>
      <c r="K16" s="1708"/>
      <c r="L16" s="1703"/>
      <c r="M16" s="1704"/>
      <c r="N16" s="374"/>
    </row>
    <row r="17" spans="1:14" ht="15" customHeight="1">
      <c r="A17" s="62"/>
      <c r="B17" s="1682"/>
      <c r="C17" s="1632" t="s">
        <v>947</v>
      </c>
      <c r="D17" s="1632"/>
      <c r="E17" s="1633"/>
      <c r="F17" s="1703"/>
      <c r="G17" s="1708"/>
      <c r="H17" s="1707"/>
      <c r="I17" s="1708"/>
      <c r="J17" s="1707"/>
      <c r="K17" s="1708"/>
      <c r="L17" s="1703"/>
      <c r="M17" s="1704"/>
      <c r="N17" s="374"/>
    </row>
    <row r="18" spans="1:14" ht="15" customHeight="1">
      <c r="A18" s="62"/>
      <c r="B18" s="1682"/>
      <c r="C18" s="1632" t="s">
        <v>809</v>
      </c>
      <c r="D18" s="1632"/>
      <c r="E18" s="1633"/>
      <c r="F18" s="1703"/>
      <c r="G18" s="1708"/>
      <c r="H18" s="1707"/>
      <c r="I18" s="1708"/>
      <c r="J18" s="1707"/>
      <c r="K18" s="1708"/>
      <c r="L18" s="1703"/>
      <c r="M18" s="1704"/>
      <c r="N18" s="374"/>
    </row>
    <row r="19" spans="1:14" ht="15" customHeight="1">
      <c r="A19" s="62"/>
      <c r="B19" s="1682"/>
      <c r="C19" s="1632" t="s">
        <v>810</v>
      </c>
      <c r="D19" s="1632"/>
      <c r="E19" s="1633"/>
      <c r="F19" s="1703"/>
      <c r="G19" s="1708"/>
      <c r="H19" s="1707"/>
      <c r="I19" s="1708"/>
      <c r="J19" s="1707"/>
      <c r="K19" s="1708"/>
      <c r="L19" s="1703"/>
      <c r="M19" s="1704"/>
      <c r="N19" s="374"/>
    </row>
    <row r="20" spans="1:14" ht="15" customHeight="1">
      <c r="A20" s="62"/>
      <c r="B20" s="1682"/>
      <c r="C20" s="1632" t="s">
        <v>811</v>
      </c>
      <c r="D20" s="1632"/>
      <c r="E20" s="1633"/>
      <c r="F20" s="1703"/>
      <c r="G20" s="1708"/>
      <c r="H20" s="1707"/>
      <c r="I20" s="1708"/>
      <c r="J20" s="1707"/>
      <c r="K20" s="1708"/>
      <c r="L20" s="1703"/>
      <c r="M20" s="1704"/>
      <c r="N20" s="374"/>
    </row>
    <row r="21" spans="1:14" ht="15" customHeight="1">
      <c r="A21" s="62"/>
      <c r="B21" s="1682"/>
      <c r="C21" s="1632" t="s">
        <v>1282</v>
      </c>
      <c r="D21" s="1632"/>
      <c r="E21" s="1633"/>
      <c r="F21" s="547"/>
      <c r="G21" s="548"/>
      <c r="H21" s="549"/>
      <c r="I21" s="548"/>
      <c r="J21" s="549"/>
      <c r="K21" s="548"/>
      <c r="L21" s="547"/>
      <c r="M21" s="550"/>
      <c r="N21" s="374"/>
    </row>
    <row r="22" spans="1:14" ht="15" customHeight="1">
      <c r="A22" s="62"/>
      <c r="B22" s="1682"/>
      <c r="C22" s="1632" t="s">
        <v>1283</v>
      </c>
      <c r="D22" s="1632"/>
      <c r="E22" s="1633"/>
      <c r="F22" s="547"/>
      <c r="G22" s="548"/>
      <c r="H22" s="549"/>
      <c r="I22" s="548"/>
      <c r="J22" s="549"/>
      <c r="K22" s="548"/>
      <c r="L22" s="547"/>
      <c r="M22" s="550"/>
      <c r="N22" s="374"/>
    </row>
    <row r="23" spans="1:14" ht="15" customHeight="1">
      <c r="A23" s="62"/>
      <c r="B23" s="1682"/>
      <c r="C23" s="1632" t="s">
        <v>812</v>
      </c>
      <c r="D23" s="1632"/>
      <c r="E23" s="1633"/>
      <c r="F23" s="1703"/>
      <c r="G23" s="1708"/>
      <c r="H23" s="1707"/>
      <c r="I23" s="1708"/>
      <c r="J23" s="1707"/>
      <c r="K23" s="1708"/>
      <c r="L23" s="1703"/>
      <c r="M23" s="1704"/>
      <c r="N23" s="374"/>
    </row>
    <row r="24" spans="1:14" ht="15" customHeight="1">
      <c r="A24" s="62"/>
      <c r="B24" s="1682"/>
      <c r="C24" s="1632" t="s">
        <v>813</v>
      </c>
      <c r="D24" s="1632"/>
      <c r="E24" s="1633"/>
      <c r="F24" s="1703"/>
      <c r="G24" s="1708"/>
      <c r="H24" s="1707"/>
      <c r="I24" s="1708"/>
      <c r="J24" s="1707"/>
      <c r="K24" s="1708"/>
      <c r="L24" s="1703"/>
      <c r="M24" s="1704"/>
      <c r="N24" s="374"/>
    </row>
    <row r="25" spans="1:14" ht="15" customHeight="1">
      <c r="A25" s="62"/>
      <c r="B25" s="1682"/>
      <c r="C25" s="1632" t="s">
        <v>814</v>
      </c>
      <c r="D25" s="1632"/>
      <c r="E25" s="1633"/>
      <c r="F25" s="1703"/>
      <c r="G25" s="1708"/>
      <c r="H25" s="1707"/>
      <c r="I25" s="1708"/>
      <c r="J25" s="1707"/>
      <c r="K25" s="1708"/>
      <c r="L25" s="1703"/>
      <c r="M25" s="1704"/>
      <c r="N25" s="374"/>
    </row>
    <row r="26" spans="1:14" ht="15" customHeight="1">
      <c r="A26" s="62"/>
      <c r="B26" s="1682"/>
      <c r="C26" s="1632" t="s">
        <v>815</v>
      </c>
      <c r="D26" s="1632"/>
      <c r="E26" s="1633"/>
      <c r="F26" s="1703"/>
      <c r="G26" s="1708"/>
      <c r="H26" s="1707"/>
      <c r="I26" s="1708"/>
      <c r="J26" s="1707"/>
      <c r="K26" s="1708"/>
      <c r="L26" s="1703"/>
      <c r="M26" s="1704"/>
      <c r="N26" s="374"/>
    </row>
    <row r="27" spans="1:14" ht="15" customHeight="1">
      <c r="A27" s="62"/>
      <c r="B27" s="1682"/>
      <c r="C27" s="1632" t="s">
        <v>816</v>
      </c>
      <c r="D27" s="1632"/>
      <c r="E27" s="1633"/>
      <c r="F27" s="1703"/>
      <c r="G27" s="1708"/>
      <c r="H27" s="1707"/>
      <c r="I27" s="1708"/>
      <c r="J27" s="1707"/>
      <c r="K27" s="1708"/>
      <c r="L27" s="1703"/>
      <c r="M27" s="1704"/>
      <c r="N27" s="374"/>
    </row>
    <row r="28" spans="1:14" ht="15" customHeight="1">
      <c r="A28" s="62"/>
      <c r="B28" s="1682"/>
      <c r="C28" s="1632" t="s">
        <v>817</v>
      </c>
      <c r="D28" s="1632"/>
      <c r="E28" s="1633"/>
      <c r="F28" s="1703"/>
      <c r="G28" s="1708"/>
      <c r="H28" s="1707"/>
      <c r="I28" s="1708"/>
      <c r="J28" s="1707"/>
      <c r="K28" s="1708"/>
      <c r="L28" s="1703"/>
      <c r="M28" s="1704"/>
      <c r="N28" s="374"/>
    </row>
    <row r="29" spans="1:14" ht="15" customHeight="1">
      <c r="A29" s="62"/>
      <c r="B29" s="1682"/>
      <c r="C29" s="1632" t="s">
        <v>818</v>
      </c>
      <c r="D29" s="1632"/>
      <c r="E29" s="1633"/>
      <c r="F29" s="1703"/>
      <c r="G29" s="1708"/>
      <c r="H29" s="1707"/>
      <c r="I29" s="1708"/>
      <c r="J29" s="1707"/>
      <c r="K29" s="1708"/>
      <c r="L29" s="1703"/>
      <c r="M29" s="1704"/>
      <c r="N29" s="374"/>
    </row>
    <row r="30" spans="1:14" ht="15" customHeight="1">
      <c r="A30" s="62"/>
      <c r="B30" s="1682"/>
      <c r="C30" s="1632" t="s">
        <v>819</v>
      </c>
      <c r="D30" s="1632"/>
      <c r="E30" s="1732"/>
      <c r="F30" s="1703"/>
      <c r="G30" s="1708"/>
      <c r="H30" s="1707"/>
      <c r="I30" s="1708"/>
      <c r="J30" s="1707"/>
      <c r="K30" s="1708"/>
      <c r="L30" s="1703"/>
      <c r="M30" s="1704"/>
      <c r="N30" s="374"/>
    </row>
    <row r="31" spans="1:14" ht="15" customHeight="1" thickBot="1">
      <c r="A31" s="62"/>
      <c r="B31" s="1683"/>
      <c r="C31" s="1634" t="s">
        <v>107</v>
      </c>
      <c r="D31" s="1634"/>
      <c r="E31" s="551" t="s">
        <v>405</v>
      </c>
      <c r="F31" s="1696"/>
      <c r="G31" s="1710"/>
      <c r="H31" s="1709"/>
      <c r="I31" s="1710"/>
      <c r="J31" s="1709"/>
      <c r="K31" s="1710"/>
      <c r="L31" s="1696"/>
      <c r="M31" s="1697"/>
      <c r="N31" s="374"/>
    </row>
    <row r="32" spans="1:14" ht="30" customHeight="1" thickBot="1">
      <c r="A32" s="12"/>
      <c r="B32" s="1698" t="s">
        <v>48</v>
      </c>
      <c r="C32" s="1699"/>
      <c r="D32" s="1699"/>
      <c r="E32" s="1700"/>
      <c r="F32" s="1701"/>
      <c r="G32" s="1701"/>
      <c r="H32" s="1701"/>
      <c r="I32" s="1701"/>
      <c r="J32" s="1701"/>
      <c r="K32" s="1701"/>
      <c r="L32" s="1701"/>
      <c r="M32" s="1702"/>
    </row>
    <row r="33" spans="2:13">
      <c r="B33" s="1715" t="s">
        <v>4</v>
      </c>
      <c r="C33" s="1716"/>
      <c r="D33" s="1716"/>
      <c r="E33" s="1716"/>
      <c r="F33" s="1716"/>
      <c r="G33" s="1716"/>
      <c r="H33" s="1716"/>
      <c r="I33" s="1716"/>
      <c r="J33" s="1716"/>
      <c r="K33" s="1716"/>
      <c r="L33" s="1716"/>
      <c r="M33" s="1717"/>
    </row>
    <row r="34" spans="2:13" ht="13.5" thickBot="1">
      <c r="B34" s="1170"/>
      <c r="C34" s="1171"/>
      <c r="D34" s="1171"/>
      <c r="E34" s="1171"/>
      <c r="F34" s="1171"/>
      <c r="G34" s="1171"/>
      <c r="H34" s="1171"/>
      <c r="I34" s="1171"/>
      <c r="J34" s="1171"/>
      <c r="K34" s="1171"/>
      <c r="L34" s="1171"/>
      <c r="M34" s="1172"/>
    </row>
  </sheetData>
  <sheetProtection password="C288" sheet="1"/>
  <mergeCells count="114">
    <mergeCell ref="C12:M12"/>
    <mergeCell ref="C24:E24"/>
    <mergeCell ref="C6:D6"/>
    <mergeCell ref="B4:B6"/>
    <mergeCell ref="E6:M6"/>
    <mergeCell ref="C7:M7"/>
    <mergeCell ref="L9:M9"/>
    <mergeCell ref="J9:K9"/>
    <mergeCell ref="H9:I9"/>
    <mergeCell ref="F9:G9"/>
    <mergeCell ref="C21:E21"/>
    <mergeCell ref="C25:E25"/>
    <mergeCell ref="C28:E28"/>
    <mergeCell ref="C29:E29"/>
    <mergeCell ref="B7:B31"/>
    <mergeCell ref="C14:E14"/>
    <mergeCell ref="C15:E15"/>
    <mergeCell ref="C30:E30"/>
    <mergeCell ref="C31:D31"/>
    <mergeCell ref="C26:E26"/>
    <mergeCell ref="C27:E27"/>
    <mergeCell ref="B3:M3"/>
    <mergeCell ref="C19:E19"/>
    <mergeCell ref="C20:E20"/>
    <mergeCell ref="C23:E23"/>
    <mergeCell ref="C16:E16"/>
    <mergeCell ref="C17:E17"/>
    <mergeCell ref="C18:E18"/>
    <mergeCell ref="F8:M8"/>
    <mergeCell ref="C22:E22"/>
    <mergeCell ref="C10:D11"/>
    <mergeCell ref="F10:G10"/>
    <mergeCell ref="F11:G11"/>
    <mergeCell ref="H10:I10"/>
    <mergeCell ref="H11:I11"/>
    <mergeCell ref="J10:K10"/>
    <mergeCell ref="J11:K11"/>
    <mergeCell ref="L10:M10"/>
    <mergeCell ref="L11:M11"/>
    <mergeCell ref="B33:M34"/>
    <mergeCell ref="F13:G13"/>
    <mergeCell ref="H13:I13"/>
    <mergeCell ref="J13:K13"/>
    <mergeCell ref="L13:M13"/>
    <mergeCell ref="F14:G14"/>
    <mergeCell ref="F15:G15"/>
    <mergeCell ref="F16:G16"/>
    <mergeCell ref="F17:G17"/>
    <mergeCell ref="F18:G18"/>
    <mergeCell ref="J14:K14"/>
    <mergeCell ref="J15:K15"/>
    <mergeCell ref="J16:K16"/>
    <mergeCell ref="J17:K17"/>
    <mergeCell ref="J18:K18"/>
    <mergeCell ref="F19:G19"/>
    <mergeCell ref="F20:G20"/>
    <mergeCell ref="F23:G23"/>
    <mergeCell ref="F24:G24"/>
    <mergeCell ref="F25:G25"/>
    <mergeCell ref="F26:G26"/>
    <mergeCell ref="F27:G27"/>
    <mergeCell ref="F28:G28"/>
    <mergeCell ref="F29:G29"/>
    <mergeCell ref="F30:G30"/>
    <mergeCell ref="F31:G31"/>
    <mergeCell ref="H14:I14"/>
    <mergeCell ref="H15:I15"/>
    <mergeCell ref="H16:I16"/>
    <mergeCell ref="H17:I17"/>
    <mergeCell ref="H18:I18"/>
    <mergeCell ref="H19:I19"/>
    <mergeCell ref="H20:I20"/>
    <mergeCell ref="H23:I23"/>
    <mergeCell ref="H24:I24"/>
    <mergeCell ref="H25:I25"/>
    <mergeCell ref="H26:I26"/>
    <mergeCell ref="H27:I27"/>
    <mergeCell ref="H28:I28"/>
    <mergeCell ref="J28:K28"/>
    <mergeCell ref="H29:I29"/>
    <mergeCell ref="H30:I30"/>
    <mergeCell ref="H31:I31"/>
    <mergeCell ref="J31:K31"/>
    <mergeCell ref="J27:K27"/>
    <mergeCell ref="J19:K19"/>
    <mergeCell ref="L20:M20"/>
    <mergeCell ref="J23:K23"/>
    <mergeCell ref="J24:K24"/>
    <mergeCell ref="J25:K25"/>
    <mergeCell ref="J26:K26"/>
    <mergeCell ref="J20:K20"/>
    <mergeCell ref="L28:M28"/>
    <mergeCell ref="J29:K29"/>
    <mergeCell ref="J30:K30"/>
    <mergeCell ref="L29:M29"/>
    <mergeCell ref="L30:M30"/>
    <mergeCell ref="L26:M26"/>
    <mergeCell ref="L27:M27"/>
    <mergeCell ref="L14:M14"/>
    <mergeCell ref="L15:M15"/>
    <mergeCell ref="L16:M16"/>
    <mergeCell ref="L17:M17"/>
    <mergeCell ref="L18:M18"/>
    <mergeCell ref="L19:M19"/>
    <mergeCell ref="B2:D2"/>
    <mergeCell ref="F2:I2"/>
    <mergeCell ref="C4:J4"/>
    <mergeCell ref="C5:J5"/>
    <mergeCell ref="L31:M31"/>
    <mergeCell ref="B32:D32"/>
    <mergeCell ref="E32:M32"/>
    <mergeCell ref="L23:M23"/>
    <mergeCell ref="L24:M24"/>
    <mergeCell ref="L25:M25"/>
  </mergeCells>
  <dataValidations count="1">
    <dataValidation type="whole" operator="greaterThanOrEqual" allowBlank="1" showInputMessage="1" showErrorMessage="1" errorTitle="Number" error="Enter a whole numeral." sqref="F10:M10 F14:M31">
      <formula1>0</formula1>
    </dataValidation>
  </dataValidations>
  <hyperlinks>
    <hyperlink ref="M2" location="'12a'!A1" tooltip="Competitive Factors" display="Next Page"/>
    <hyperlink ref="B2:D2" location="'11a'!A1" tooltip="Workforce" display="Previous Page"/>
  </hyperlinks>
  <pageMargins left="0.25" right="0.25" top="0.75" bottom="0.75" header="0.3" footer="0.3"/>
  <pageSetup scale="84" orientation="landscape" cellComments="atEnd" verticalDpi="0" r:id="rId1"/>
  <headerFooter>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showGridLines="0" showRowColHeaders="0" zoomScaleNormal="100" workbookViewId="0"/>
  </sheetViews>
  <sheetFormatPr defaultColWidth="8.85546875" defaultRowHeight="12.75"/>
  <cols>
    <col min="1" max="1" width="8.5703125" style="48" customWidth="1"/>
    <col min="2" max="2" width="3.7109375" style="48" customWidth="1"/>
    <col min="3" max="3" width="9.7109375" style="48" customWidth="1"/>
    <col min="4" max="13" width="8.85546875" style="48"/>
    <col min="14" max="14" width="11.85546875" style="48" customWidth="1"/>
    <col min="15" max="16384" width="8.85546875" style="48"/>
  </cols>
  <sheetData>
    <row r="1" spans="2:14" ht="13.5" customHeight="1" thickBot="1"/>
    <row r="2" spans="2:14" ht="13.5" customHeight="1" thickBot="1">
      <c r="B2" s="655" t="s">
        <v>487</v>
      </c>
      <c r="C2" s="656"/>
      <c r="D2" s="656"/>
      <c r="E2" s="112"/>
      <c r="F2" s="657" t="s">
        <v>1204</v>
      </c>
      <c r="G2" s="657"/>
      <c r="H2" s="657"/>
      <c r="I2" s="657"/>
      <c r="J2" s="657"/>
      <c r="K2" s="114"/>
      <c r="L2" s="127"/>
      <c r="M2" s="695" t="s">
        <v>486</v>
      </c>
      <c r="N2" s="696"/>
    </row>
    <row r="3" spans="2:14" ht="13.5" customHeight="1" thickBot="1">
      <c r="B3" s="697" t="s">
        <v>515</v>
      </c>
      <c r="C3" s="698"/>
      <c r="D3" s="698"/>
      <c r="E3" s="698"/>
      <c r="F3" s="698"/>
      <c r="G3" s="698"/>
      <c r="H3" s="698"/>
      <c r="I3" s="698"/>
      <c r="J3" s="698"/>
      <c r="K3" s="698"/>
      <c r="L3" s="698"/>
      <c r="M3" s="698"/>
      <c r="N3" s="699"/>
    </row>
    <row r="4" spans="2:14" ht="97.5" customHeight="1">
      <c r="B4" s="128" t="s">
        <v>5</v>
      </c>
      <c r="C4" s="700" t="s">
        <v>1320</v>
      </c>
      <c r="D4" s="701"/>
      <c r="E4" s="701"/>
      <c r="F4" s="701"/>
      <c r="G4" s="701"/>
      <c r="H4" s="701"/>
      <c r="I4" s="701"/>
      <c r="J4" s="701"/>
      <c r="K4" s="701"/>
      <c r="L4" s="701"/>
      <c r="M4" s="701"/>
      <c r="N4" s="702"/>
    </row>
    <row r="5" spans="2:14" ht="98.25" customHeight="1">
      <c r="B5" s="129" t="s">
        <v>6</v>
      </c>
      <c r="C5" s="703" t="s">
        <v>1321</v>
      </c>
      <c r="D5" s="704"/>
      <c r="E5" s="704"/>
      <c r="F5" s="704"/>
      <c r="G5" s="704"/>
      <c r="H5" s="704"/>
      <c r="I5" s="704"/>
      <c r="J5" s="704"/>
      <c r="K5" s="704"/>
      <c r="L5" s="704"/>
      <c r="M5" s="704"/>
      <c r="N5" s="705"/>
    </row>
    <row r="6" spans="2:14" ht="26.25" customHeight="1">
      <c r="B6" s="130" t="s">
        <v>7</v>
      </c>
      <c r="C6" s="675" t="s">
        <v>131</v>
      </c>
      <c r="D6" s="676"/>
      <c r="E6" s="676"/>
      <c r="F6" s="676"/>
      <c r="G6" s="676"/>
      <c r="H6" s="676"/>
      <c r="I6" s="676"/>
      <c r="J6" s="676"/>
      <c r="K6" s="676"/>
      <c r="L6" s="676"/>
      <c r="M6" s="676"/>
      <c r="N6" s="677"/>
    </row>
    <row r="7" spans="2:14" ht="33" customHeight="1">
      <c r="B7" s="130" t="s">
        <v>8</v>
      </c>
      <c r="C7" s="678" t="s">
        <v>517</v>
      </c>
      <c r="D7" s="679"/>
      <c r="E7" s="679"/>
      <c r="F7" s="679"/>
      <c r="G7" s="679"/>
      <c r="H7" s="679"/>
      <c r="I7" s="679"/>
      <c r="J7" s="679"/>
      <c r="K7" s="679"/>
      <c r="L7" s="679"/>
      <c r="M7" s="679"/>
      <c r="N7" s="680"/>
    </row>
    <row r="8" spans="2:14" ht="63.75" customHeight="1">
      <c r="B8" s="293" t="s">
        <v>9</v>
      </c>
      <c r="C8" s="692" t="s">
        <v>1322</v>
      </c>
      <c r="D8" s="693"/>
      <c r="E8" s="693"/>
      <c r="F8" s="693"/>
      <c r="G8" s="693"/>
      <c r="H8" s="693"/>
      <c r="I8" s="693"/>
      <c r="J8" s="693"/>
      <c r="K8" s="693"/>
      <c r="L8" s="693"/>
      <c r="M8" s="693"/>
      <c r="N8" s="694"/>
    </row>
    <row r="9" spans="2:14" ht="81.75" customHeight="1">
      <c r="B9" s="294" t="s">
        <v>10</v>
      </c>
      <c r="C9" s="681" t="s">
        <v>1354</v>
      </c>
      <c r="D9" s="682"/>
      <c r="E9" s="682"/>
      <c r="F9" s="682"/>
      <c r="G9" s="682"/>
      <c r="H9" s="682"/>
      <c r="I9" s="682"/>
      <c r="J9" s="682"/>
      <c r="K9" s="682"/>
      <c r="L9" s="682"/>
      <c r="M9" s="682"/>
      <c r="N9" s="683"/>
    </row>
    <row r="10" spans="2:14" ht="137.25" customHeight="1" thickBot="1">
      <c r="B10" s="131" t="s">
        <v>11</v>
      </c>
      <c r="C10" s="684" t="s">
        <v>1323</v>
      </c>
      <c r="D10" s="685"/>
      <c r="E10" s="685"/>
      <c r="F10" s="685"/>
      <c r="G10" s="685"/>
      <c r="H10" s="685"/>
      <c r="I10" s="685"/>
      <c r="J10" s="685"/>
      <c r="K10" s="685"/>
      <c r="L10" s="685"/>
      <c r="M10" s="685"/>
      <c r="N10" s="686"/>
    </row>
    <row r="11" spans="2:14" ht="12.75" customHeight="1">
      <c r="B11" s="687"/>
      <c r="C11" s="688"/>
      <c r="D11" s="1"/>
      <c r="E11" s="1"/>
      <c r="F11" s="1"/>
      <c r="G11" s="689"/>
      <c r="H11" s="689"/>
      <c r="I11" s="689"/>
      <c r="J11" s="689"/>
      <c r="K11" s="1"/>
      <c r="L11" s="1"/>
      <c r="M11" s="690"/>
      <c r="N11" s="691"/>
    </row>
    <row r="12" spans="2:14" ht="13.5" thickBot="1">
      <c r="B12" s="672" t="s">
        <v>4</v>
      </c>
      <c r="C12" s="673"/>
      <c r="D12" s="673"/>
      <c r="E12" s="673"/>
      <c r="F12" s="673"/>
      <c r="G12" s="673"/>
      <c r="H12" s="673"/>
      <c r="I12" s="673"/>
      <c r="J12" s="673"/>
      <c r="K12" s="673"/>
      <c r="L12" s="673"/>
      <c r="M12" s="673"/>
      <c r="N12" s="674"/>
    </row>
  </sheetData>
  <sheetProtection password="C288" sheet="1"/>
  <mergeCells count="15">
    <mergeCell ref="B2:D2"/>
    <mergeCell ref="M2:N2"/>
    <mergeCell ref="B3:N3"/>
    <mergeCell ref="C4:N4"/>
    <mergeCell ref="C5:N5"/>
    <mergeCell ref="F2:J2"/>
    <mergeCell ref="B12:N12"/>
    <mergeCell ref="C6:N6"/>
    <mergeCell ref="C7:N7"/>
    <mergeCell ref="C9:N9"/>
    <mergeCell ref="C10:N10"/>
    <mergeCell ref="B11:C11"/>
    <mergeCell ref="G11:J11"/>
    <mergeCell ref="M11:N11"/>
    <mergeCell ref="C8:N8"/>
  </mergeCells>
  <hyperlinks>
    <hyperlink ref="B2:D2" location="'Table of Contents'!A1" tooltip="Table of Contents" display="Previous Page"/>
    <hyperlink ref="F2:J2" location="'Table of Contents'!A1" tooltip="Table of Contents" display="Table of Contents"/>
    <hyperlink ref="M2:N2" location="Definitions!A1" tooltip="Definitions" display="Next Page"/>
  </hyperlinks>
  <pageMargins left="0.25" right="0.25" top="0.75" bottom="0.75" header="0.3" footer="0.3"/>
  <pageSetup scale="87" orientation="landscape" cellComments="atEnd" r:id="rId1"/>
  <headerFooter>
    <oddHeader>&amp;F</oddHeader>
    <oddFoote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showRowColHeaders="0" zoomScaleNormal="100" workbookViewId="0"/>
  </sheetViews>
  <sheetFormatPr defaultColWidth="27" defaultRowHeight="12.75"/>
  <cols>
    <col min="1" max="1" width="8.5703125" style="57" customWidth="1"/>
    <col min="2" max="3" width="3.7109375" style="57" customWidth="1"/>
    <col min="4" max="4" width="11.28515625" style="57" customWidth="1"/>
    <col min="5" max="5" width="30" style="57" customWidth="1"/>
    <col min="6" max="7" width="17.5703125" style="57" customWidth="1"/>
    <col min="8" max="9" width="15.5703125" style="57" customWidth="1"/>
    <col min="10" max="10" width="15.5703125" style="58" customWidth="1"/>
    <col min="11" max="11" width="15.5703125" style="57" customWidth="1"/>
    <col min="12" max="252" width="8.85546875" style="57" customWidth="1"/>
    <col min="253" max="254" width="3.7109375" style="57" customWidth="1"/>
    <col min="255" max="16384" width="27" style="57"/>
  </cols>
  <sheetData>
    <row r="1" spans="1:11" ht="13.5" customHeight="1" thickBot="1">
      <c r="A1" s="195"/>
      <c r="B1" s="195"/>
      <c r="C1" s="195"/>
      <c r="D1" s="195"/>
      <c r="E1" s="195"/>
      <c r="F1" s="195"/>
      <c r="G1" s="195"/>
      <c r="H1" s="195"/>
      <c r="I1" s="195"/>
      <c r="J1" s="196"/>
      <c r="K1" s="195"/>
    </row>
    <row r="2" spans="1:11" ht="13.5" customHeight="1" thickBot="1">
      <c r="A2" s="195"/>
      <c r="B2" s="655" t="s">
        <v>487</v>
      </c>
      <c r="C2" s="656"/>
      <c r="D2" s="656"/>
      <c r="E2" s="143"/>
      <c r="F2" s="657" t="s">
        <v>1204</v>
      </c>
      <c r="G2" s="657"/>
      <c r="H2" s="657"/>
      <c r="I2" s="108"/>
      <c r="J2" s="15"/>
      <c r="K2" s="113" t="s">
        <v>486</v>
      </c>
    </row>
    <row r="3" spans="1:11" ht="13.5" customHeight="1" thickBot="1">
      <c r="A3" s="195"/>
      <c r="B3" s="958" t="s">
        <v>847</v>
      </c>
      <c r="C3" s="959"/>
      <c r="D3" s="959"/>
      <c r="E3" s="959"/>
      <c r="F3" s="959"/>
      <c r="G3" s="959"/>
      <c r="H3" s="959"/>
      <c r="I3" s="959"/>
      <c r="J3" s="959"/>
      <c r="K3" s="960"/>
    </row>
    <row r="4" spans="1:11" s="12" customFormat="1" ht="30" customHeight="1">
      <c r="A4" s="45"/>
      <c r="B4" s="1745" t="s">
        <v>5</v>
      </c>
      <c r="C4" s="879" t="s">
        <v>2253</v>
      </c>
      <c r="D4" s="880"/>
      <c r="E4" s="1747"/>
      <c r="F4" s="1747"/>
      <c r="G4" s="1747"/>
      <c r="H4" s="1748"/>
      <c r="I4" s="1770"/>
      <c r="J4" s="1771"/>
      <c r="K4" s="1772"/>
    </row>
    <row r="5" spans="1:11" s="12" customFormat="1" ht="30" customHeight="1" thickBot="1">
      <c r="A5" s="45"/>
      <c r="B5" s="1746"/>
      <c r="C5" s="1749" t="s">
        <v>448</v>
      </c>
      <c r="D5" s="1750"/>
      <c r="E5" s="1773"/>
      <c r="F5" s="1774"/>
      <c r="G5" s="1774"/>
      <c r="H5" s="1774"/>
      <c r="I5" s="1774"/>
      <c r="J5" s="1774"/>
      <c r="K5" s="1775"/>
    </row>
    <row r="6" spans="1:11" ht="30" customHeight="1">
      <c r="A6" s="195"/>
      <c r="B6" s="974" t="s">
        <v>6</v>
      </c>
      <c r="C6" s="1759">
        <v>1</v>
      </c>
      <c r="D6" s="1124" t="s">
        <v>1176</v>
      </c>
      <c r="E6" s="1125"/>
      <c r="F6" s="1125"/>
      <c r="G6" s="1125"/>
      <c r="H6" s="1125"/>
      <c r="I6" s="1126"/>
      <c r="J6" s="1116"/>
      <c r="K6" s="1117"/>
    </row>
    <row r="7" spans="1:11" ht="30" customHeight="1">
      <c r="A7" s="195"/>
      <c r="B7" s="974"/>
      <c r="C7" s="1760"/>
      <c r="D7" s="234" t="s">
        <v>448</v>
      </c>
      <c r="E7" s="963"/>
      <c r="F7" s="964"/>
      <c r="G7" s="964"/>
      <c r="H7" s="964"/>
      <c r="I7" s="964"/>
      <c r="J7" s="964"/>
      <c r="K7" s="965"/>
    </row>
    <row r="8" spans="1:11" ht="30" customHeight="1">
      <c r="A8" s="195"/>
      <c r="B8" s="974"/>
      <c r="C8" s="1751">
        <v>2</v>
      </c>
      <c r="D8" s="1124" t="s">
        <v>1177</v>
      </c>
      <c r="E8" s="1125"/>
      <c r="F8" s="1125"/>
      <c r="G8" s="1125"/>
      <c r="H8" s="1125"/>
      <c r="I8" s="1126"/>
      <c r="J8" s="1116"/>
      <c r="K8" s="1117"/>
    </row>
    <row r="9" spans="1:11" ht="30" customHeight="1">
      <c r="A9" s="195"/>
      <c r="B9" s="974"/>
      <c r="C9" s="1751"/>
      <c r="D9" s="1776" t="s">
        <v>892</v>
      </c>
      <c r="E9" s="1777"/>
      <c r="F9" s="628"/>
      <c r="G9" s="241" t="s">
        <v>48</v>
      </c>
      <c r="H9" s="963"/>
      <c r="I9" s="964"/>
      <c r="J9" s="964"/>
      <c r="K9" s="965"/>
    </row>
    <row r="10" spans="1:11" ht="30" customHeight="1">
      <c r="A10" s="195"/>
      <c r="B10" s="974"/>
      <c r="C10" s="1759">
        <v>3</v>
      </c>
      <c r="D10" s="1124" t="s">
        <v>1178</v>
      </c>
      <c r="E10" s="1125"/>
      <c r="F10" s="1125"/>
      <c r="G10" s="1125"/>
      <c r="H10" s="1125"/>
      <c r="I10" s="1126"/>
      <c r="J10" s="1116"/>
      <c r="K10" s="1117"/>
    </row>
    <row r="11" spans="1:11" ht="30" customHeight="1" thickBot="1">
      <c r="A11" s="195"/>
      <c r="B11" s="974"/>
      <c r="C11" s="1760"/>
      <c r="D11" s="234" t="s">
        <v>448</v>
      </c>
      <c r="E11" s="963"/>
      <c r="F11" s="964"/>
      <c r="G11" s="964"/>
      <c r="H11" s="964"/>
      <c r="I11" s="964"/>
      <c r="J11" s="964"/>
      <c r="K11" s="965"/>
    </row>
    <row r="12" spans="1:11" ht="21.75" customHeight="1">
      <c r="A12" s="195"/>
      <c r="B12" s="973" t="s">
        <v>7</v>
      </c>
      <c r="C12" s="1111" t="s">
        <v>1343</v>
      </c>
      <c r="D12" s="1112"/>
      <c r="E12" s="1112"/>
      <c r="F12" s="1112"/>
      <c r="G12" s="1112"/>
      <c r="H12" s="1112"/>
      <c r="I12" s="1112"/>
      <c r="J12" s="1112"/>
      <c r="K12" s="1752"/>
    </row>
    <row r="13" spans="1:11" ht="45.75" customHeight="1">
      <c r="A13" s="195"/>
      <c r="B13" s="974"/>
      <c r="C13" s="1756" t="s">
        <v>646</v>
      </c>
      <c r="D13" s="1757"/>
      <c r="E13" s="1758"/>
      <c r="F13" s="229" t="s">
        <v>1342</v>
      </c>
      <c r="G13" s="231" t="s">
        <v>957</v>
      </c>
      <c r="H13" s="1753" t="s">
        <v>468</v>
      </c>
      <c r="I13" s="1754"/>
      <c r="J13" s="1754"/>
      <c r="K13" s="1755"/>
    </row>
    <row r="14" spans="1:11" ht="13.5" customHeight="1">
      <c r="A14" s="195"/>
      <c r="B14" s="974"/>
      <c r="C14" s="954" t="s">
        <v>828</v>
      </c>
      <c r="D14" s="1744"/>
      <c r="E14" s="955"/>
      <c r="F14" s="438"/>
      <c r="G14" s="438"/>
      <c r="H14" s="963"/>
      <c r="I14" s="964"/>
      <c r="J14" s="964"/>
      <c r="K14" s="965"/>
    </row>
    <row r="15" spans="1:11" ht="13.5" customHeight="1">
      <c r="A15" s="195"/>
      <c r="B15" s="974"/>
      <c r="C15" s="954" t="s">
        <v>829</v>
      </c>
      <c r="D15" s="1744" t="s">
        <v>829</v>
      </c>
      <c r="E15" s="955"/>
      <c r="F15" s="438"/>
      <c r="G15" s="438"/>
      <c r="H15" s="963"/>
      <c r="I15" s="964"/>
      <c r="J15" s="964"/>
      <c r="K15" s="965"/>
    </row>
    <row r="16" spans="1:11" ht="13.5" customHeight="1">
      <c r="A16" s="195"/>
      <c r="B16" s="974"/>
      <c r="C16" s="954" t="s">
        <v>830</v>
      </c>
      <c r="D16" s="1744" t="s">
        <v>830</v>
      </c>
      <c r="E16" s="955"/>
      <c r="F16" s="438"/>
      <c r="G16" s="438"/>
      <c r="H16" s="963"/>
      <c r="I16" s="964"/>
      <c r="J16" s="964"/>
      <c r="K16" s="965"/>
    </row>
    <row r="17" spans="1:11" ht="13.5" customHeight="1">
      <c r="A17" s="195"/>
      <c r="B17" s="974"/>
      <c r="C17" s="954" t="s">
        <v>831</v>
      </c>
      <c r="D17" s="1744" t="s">
        <v>831</v>
      </c>
      <c r="E17" s="955"/>
      <c r="F17" s="438"/>
      <c r="G17" s="438"/>
      <c r="H17" s="963"/>
      <c r="I17" s="964"/>
      <c r="J17" s="964"/>
      <c r="K17" s="965"/>
    </row>
    <row r="18" spans="1:11" ht="13.5" customHeight="1">
      <c r="A18" s="195"/>
      <c r="B18" s="974"/>
      <c r="C18" s="954" t="s">
        <v>832</v>
      </c>
      <c r="D18" s="1744" t="s">
        <v>832</v>
      </c>
      <c r="E18" s="955"/>
      <c r="F18" s="438"/>
      <c r="G18" s="438"/>
      <c r="H18" s="963"/>
      <c r="I18" s="964"/>
      <c r="J18" s="964"/>
      <c r="K18" s="965"/>
    </row>
    <row r="19" spans="1:11" ht="13.5" customHeight="1">
      <c r="A19" s="195"/>
      <c r="B19" s="974"/>
      <c r="C19" s="954" t="s">
        <v>1284</v>
      </c>
      <c r="D19" s="1744" t="s">
        <v>832</v>
      </c>
      <c r="E19" s="955"/>
      <c r="F19" s="438"/>
      <c r="G19" s="438"/>
      <c r="H19" s="963"/>
      <c r="I19" s="964"/>
      <c r="J19" s="964"/>
      <c r="K19" s="965"/>
    </row>
    <row r="20" spans="1:11" ht="13.5" customHeight="1">
      <c r="A20" s="195"/>
      <c r="B20" s="974"/>
      <c r="C20" s="954" t="s">
        <v>833</v>
      </c>
      <c r="D20" s="1744" t="s">
        <v>833</v>
      </c>
      <c r="E20" s="955"/>
      <c r="F20" s="438"/>
      <c r="G20" s="438"/>
      <c r="H20" s="963"/>
      <c r="I20" s="964"/>
      <c r="J20" s="964"/>
      <c r="K20" s="965"/>
    </row>
    <row r="21" spans="1:11" ht="13.5" customHeight="1" thickBot="1">
      <c r="A21" s="195"/>
      <c r="B21" s="974"/>
      <c r="C21" s="1764" t="s">
        <v>107</v>
      </c>
      <c r="D21" s="1765"/>
      <c r="E21" s="553" t="s">
        <v>405</v>
      </c>
      <c r="F21" s="552"/>
      <c r="G21" s="552"/>
      <c r="H21" s="1761"/>
      <c r="I21" s="1762"/>
      <c r="J21" s="1762"/>
      <c r="K21" s="1763"/>
    </row>
    <row r="22" spans="1:11" ht="22.5" customHeight="1">
      <c r="A22" s="195"/>
      <c r="B22" s="973" t="s">
        <v>8</v>
      </c>
      <c r="C22" s="1767" t="s">
        <v>1180</v>
      </c>
      <c r="D22" s="1768"/>
      <c r="E22" s="1768"/>
      <c r="F22" s="1768"/>
      <c r="G22" s="1768"/>
      <c r="H22" s="1768"/>
      <c r="I22" s="1768"/>
      <c r="J22" s="1768"/>
      <c r="K22" s="1769"/>
    </row>
    <row r="23" spans="1:11" ht="57" customHeight="1">
      <c r="A23" s="195"/>
      <c r="B23" s="974"/>
      <c r="C23" s="1756"/>
      <c r="D23" s="1757"/>
      <c r="E23" s="1758"/>
      <c r="F23" s="230" t="s">
        <v>837</v>
      </c>
      <c r="G23" s="231" t="s">
        <v>838</v>
      </c>
      <c r="H23" s="1753" t="s">
        <v>468</v>
      </c>
      <c r="I23" s="1754"/>
      <c r="J23" s="1754"/>
      <c r="K23" s="1755"/>
    </row>
    <row r="24" spans="1:11" ht="30" customHeight="1">
      <c r="A24" s="195"/>
      <c r="B24" s="974"/>
      <c r="C24" s="954" t="s">
        <v>834</v>
      </c>
      <c r="D24" s="1744"/>
      <c r="E24" s="955"/>
      <c r="F24" s="554"/>
      <c r="G24" s="555"/>
      <c r="H24" s="963"/>
      <c r="I24" s="964"/>
      <c r="J24" s="964"/>
      <c r="K24" s="965"/>
    </row>
    <row r="25" spans="1:11" ht="30" customHeight="1">
      <c r="A25" s="195"/>
      <c r="B25" s="974"/>
      <c r="C25" s="954" t="s">
        <v>835</v>
      </c>
      <c r="D25" s="1744" t="s">
        <v>835</v>
      </c>
      <c r="E25" s="955"/>
      <c r="F25" s="554"/>
      <c r="G25" s="555"/>
      <c r="H25" s="963"/>
      <c r="I25" s="964"/>
      <c r="J25" s="964"/>
      <c r="K25" s="965"/>
    </row>
    <row r="26" spans="1:11" ht="30" customHeight="1" thickBot="1">
      <c r="A26" s="195"/>
      <c r="B26" s="975"/>
      <c r="C26" s="954" t="s">
        <v>836</v>
      </c>
      <c r="D26" s="1744" t="s">
        <v>836</v>
      </c>
      <c r="E26" s="955"/>
      <c r="F26" s="556"/>
      <c r="G26" s="557"/>
      <c r="H26" s="963"/>
      <c r="I26" s="964"/>
      <c r="J26" s="964"/>
      <c r="K26" s="965"/>
    </row>
    <row r="27" spans="1:11" ht="27" customHeight="1">
      <c r="A27" s="195"/>
      <c r="B27" s="1143" t="s">
        <v>48</v>
      </c>
      <c r="C27" s="1766"/>
      <c r="D27" s="1144"/>
      <c r="E27" s="939"/>
      <c r="F27" s="940"/>
      <c r="G27" s="940"/>
      <c r="H27" s="940"/>
      <c r="I27" s="940"/>
      <c r="J27" s="940"/>
      <c r="K27" s="941"/>
    </row>
    <row r="28" spans="1:11">
      <c r="B28" s="59"/>
      <c r="K28" s="60"/>
    </row>
    <row r="29" spans="1:11" ht="13.5" thickBot="1">
      <c r="B29" s="978" t="s">
        <v>4</v>
      </c>
      <c r="C29" s="979"/>
      <c r="D29" s="979"/>
      <c r="E29" s="979"/>
      <c r="F29" s="979"/>
      <c r="G29" s="979"/>
      <c r="H29" s="979"/>
      <c r="I29" s="979"/>
      <c r="J29" s="979"/>
      <c r="K29" s="980"/>
    </row>
  </sheetData>
  <sheetProtection password="C288" sheet="1"/>
  <mergeCells count="55">
    <mergeCell ref="I4:K4"/>
    <mergeCell ref="E5:K5"/>
    <mergeCell ref="C10:C11"/>
    <mergeCell ref="D10:I10"/>
    <mergeCell ref="J8:K8"/>
    <mergeCell ref="D9:E9"/>
    <mergeCell ref="D8:I8"/>
    <mergeCell ref="E11:K11"/>
    <mergeCell ref="H9:K9"/>
    <mergeCell ref="C22:K22"/>
    <mergeCell ref="H26:K26"/>
    <mergeCell ref="C26:E26"/>
    <mergeCell ref="C24:E24"/>
    <mergeCell ref="C23:E23"/>
    <mergeCell ref="H23:K23"/>
    <mergeCell ref="C17:E17"/>
    <mergeCell ref="H14:K14"/>
    <mergeCell ref="B27:D27"/>
    <mergeCell ref="E27:K27"/>
    <mergeCell ref="H17:K17"/>
    <mergeCell ref="H18:K18"/>
    <mergeCell ref="B22:B26"/>
    <mergeCell ref="H24:K24"/>
    <mergeCell ref="H25:K25"/>
    <mergeCell ref="C25:E25"/>
    <mergeCell ref="C13:E13"/>
    <mergeCell ref="J10:K10"/>
    <mergeCell ref="B2:D2"/>
    <mergeCell ref="B3:K3"/>
    <mergeCell ref="B12:B21"/>
    <mergeCell ref="C6:C7"/>
    <mergeCell ref="H21:K21"/>
    <mergeCell ref="C18:E18"/>
    <mergeCell ref="C21:D21"/>
    <mergeCell ref="H16:K16"/>
    <mergeCell ref="B29:K29"/>
    <mergeCell ref="J6:K6"/>
    <mergeCell ref="E7:K7"/>
    <mergeCell ref="D6:I6"/>
    <mergeCell ref="H13:K13"/>
    <mergeCell ref="C19:E19"/>
    <mergeCell ref="C14:E14"/>
    <mergeCell ref="C15:E15"/>
    <mergeCell ref="C16:E16"/>
    <mergeCell ref="H15:K15"/>
    <mergeCell ref="C20:E20"/>
    <mergeCell ref="H20:K20"/>
    <mergeCell ref="H19:K19"/>
    <mergeCell ref="F2:H2"/>
    <mergeCell ref="B4:B5"/>
    <mergeCell ref="B6:B11"/>
    <mergeCell ref="C4:H4"/>
    <mergeCell ref="C5:D5"/>
    <mergeCell ref="C8:C9"/>
    <mergeCell ref="C12:K12"/>
  </mergeCells>
  <dataValidations count="5">
    <dataValidation type="list" allowBlank="1" showInputMessage="1" showErrorMessage="1" sqref="F14:G21">
      <formula1>YesNoNA</formula1>
    </dataValidation>
    <dataValidation type="list" allowBlank="1" showInputMessage="1" showErrorMessage="1" sqref="I4:K4">
      <formula1>FacilityChange</formula1>
    </dataValidation>
    <dataValidation type="list" allowBlank="1" showInputMessage="1" showErrorMessage="1" sqref="J6:K6 J8:K8 J10:K10">
      <formula1>YesNoNA</formula1>
    </dataValidation>
    <dataValidation type="whole" allowBlank="1" showInputMessage="1" showErrorMessage="1" errorTitle="Year" error="Enter a valid year." sqref="F9">
      <formula1>1900</formula1>
      <formula2>2200</formula2>
    </dataValidation>
    <dataValidation type="decimal" allowBlank="1" showInputMessage="1" showErrorMessage="1" errorTitle="Percentage" error="Enter the percentage increase in costs for the MIL-PRF-31032 standard._x000a_" sqref="F24:G26">
      <formula1>-5000</formula1>
      <formula2>5000</formula2>
    </dataValidation>
  </dataValidations>
  <hyperlinks>
    <hyperlink ref="B2:D2" location="'11b'!A1" tooltip="Workforce (continued)" display="Previous Page"/>
    <hyperlink ref="F2" location="'Table of Contents'!A1" tooltip="Table of Contents" display="Table of Contents"/>
    <hyperlink ref="K2" location="'12b'!A1" tooltip="Competitive Factors (continued)" display="Next Page"/>
  </hyperlinks>
  <pageMargins left="0.25" right="0.25" top="0.75" bottom="0.75" header="0.3" footer="0.3"/>
  <pageSetup scale="78" orientation="landscape" cellComments="atEnd" r:id="rId1"/>
  <headerFooter>
    <oddHeader>&amp;F</oddHeader>
    <oddFoote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showRowColHeaders="0" zoomScaleNormal="100" workbookViewId="0"/>
  </sheetViews>
  <sheetFormatPr defaultColWidth="27" defaultRowHeight="12.75"/>
  <cols>
    <col min="1" max="1" width="8.5703125" style="57" customWidth="1"/>
    <col min="2" max="2" width="3.7109375" style="57" customWidth="1"/>
    <col min="3" max="3" width="10" style="57" customWidth="1"/>
    <col min="4" max="4" width="51.28515625" style="57" customWidth="1"/>
    <col min="5" max="5" width="10" style="57" customWidth="1"/>
    <col min="6" max="6" width="18.5703125" style="57" customWidth="1"/>
    <col min="7" max="7" width="18.140625" style="57" customWidth="1"/>
    <col min="8" max="8" width="15.5703125" style="57" customWidth="1"/>
    <col min="9" max="9" width="14" style="58" customWidth="1"/>
    <col min="10" max="10" width="14" style="57" customWidth="1"/>
    <col min="11" max="251" width="8.85546875" style="57" customWidth="1"/>
    <col min="252" max="253" width="3.7109375" style="57" customWidth="1"/>
    <col min="254" max="16384" width="27" style="57"/>
  </cols>
  <sheetData>
    <row r="1" spans="1:10" ht="13.5" customHeight="1" thickBot="1">
      <c r="A1" s="195"/>
      <c r="B1" s="195"/>
      <c r="C1" s="195"/>
      <c r="D1" s="195"/>
      <c r="E1" s="195"/>
      <c r="F1" s="195"/>
      <c r="G1" s="195"/>
      <c r="H1" s="195"/>
      <c r="I1" s="196"/>
      <c r="J1" s="195"/>
    </row>
    <row r="2" spans="1:10" ht="13.5" customHeight="1" thickBot="1">
      <c r="A2" s="195"/>
      <c r="B2" s="655" t="s">
        <v>487</v>
      </c>
      <c r="C2" s="656"/>
      <c r="D2" s="143"/>
      <c r="E2" s="657" t="s">
        <v>1204</v>
      </c>
      <c r="F2" s="657"/>
      <c r="G2" s="108"/>
      <c r="H2" s="108"/>
      <c r="I2" s="15"/>
      <c r="J2" s="113" t="s">
        <v>486</v>
      </c>
    </row>
    <row r="3" spans="1:10" ht="13.5" customHeight="1" thickBot="1">
      <c r="A3" s="195"/>
      <c r="B3" s="958" t="s">
        <v>898</v>
      </c>
      <c r="C3" s="959"/>
      <c r="D3" s="959"/>
      <c r="E3" s="959"/>
      <c r="F3" s="959"/>
      <c r="G3" s="959"/>
      <c r="H3" s="959"/>
      <c r="I3" s="959"/>
      <c r="J3" s="960"/>
    </row>
    <row r="4" spans="1:10" ht="30" customHeight="1">
      <c r="A4" s="195"/>
      <c r="B4" s="973" t="s">
        <v>5</v>
      </c>
      <c r="C4" s="1111" t="s">
        <v>1344</v>
      </c>
      <c r="D4" s="1112"/>
      <c r="E4" s="1112"/>
      <c r="F4" s="1112"/>
      <c r="G4" s="1112"/>
      <c r="H4" s="1113"/>
      <c r="I4" s="939"/>
      <c r="J4" s="1786"/>
    </row>
    <row r="5" spans="1:10" ht="30" customHeight="1">
      <c r="A5" s="195"/>
      <c r="B5" s="974"/>
      <c r="C5" s="234" t="s">
        <v>468</v>
      </c>
      <c r="D5" s="963"/>
      <c r="E5" s="964"/>
      <c r="F5" s="964"/>
      <c r="G5" s="964"/>
      <c r="H5" s="964"/>
      <c r="I5" s="964"/>
      <c r="J5" s="965"/>
    </row>
    <row r="6" spans="1:10" ht="30" customHeight="1">
      <c r="A6" s="195"/>
      <c r="B6" s="974"/>
      <c r="C6" s="1124" t="s">
        <v>1345</v>
      </c>
      <c r="D6" s="1125"/>
      <c r="E6" s="1125"/>
      <c r="F6" s="1125"/>
      <c r="G6" s="1125"/>
      <c r="H6" s="1126"/>
      <c r="I6" s="1122"/>
      <c r="J6" s="1123"/>
    </row>
    <row r="7" spans="1:10" ht="30" customHeight="1">
      <c r="A7" s="195"/>
      <c r="B7" s="974"/>
      <c r="C7" s="234" t="s">
        <v>468</v>
      </c>
      <c r="D7" s="963"/>
      <c r="E7" s="964"/>
      <c r="F7" s="964"/>
      <c r="G7" s="964"/>
      <c r="H7" s="964"/>
      <c r="I7" s="964"/>
      <c r="J7" s="965"/>
    </row>
    <row r="8" spans="1:10" ht="30" customHeight="1">
      <c r="A8" s="195"/>
      <c r="B8" s="974"/>
      <c r="C8" s="1787" t="s">
        <v>1181</v>
      </c>
      <c r="D8" s="1788"/>
      <c r="E8" s="1788"/>
      <c r="F8" s="1788"/>
      <c r="G8" s="1788"/>
      <c r="H8" s="1789"/>
      <c r="I8" s="1116"/>
      <c r="J8" s="1117"/>
    </row>
    <row r="9" spans="1:10" ht="30" customHeight="1">
      <c r="A9" s="195"/>
      <c r="B9" s="974"/>
      <c r="C9" s="1124" t="s">
        <v>1182</v>
      </c>
      <c r="D9" s="1125"/>
      <c r="E9" s="1125"/>
      <c r="F9" s="1125"/>
      <c r="G9" s="1125"/>
      <c r="H9" s="1126"/>
      <c r="I9" s="1116"/>
      <c r="J9" s="1117"/>
    </row>
    <row r="10" spans="1:10" ht="30" customHeight="1" thickBot="1">
      <c r="A10" s="195"/>
      <c r="B10" s="975"/>
      <c r="C10" s="232" t="s">
        <v>468</v>
      </c>
      <c r="D10" s="970"/>
      <c r="E10" s="971"/>
      <c r="F10" s="971"/>
      <c r="G10" s="971"/>
      <c r="H10" s="971"/>
      <c r="I10" s="971"/>
      <c r="J10" s="972"/>
    </row>
    <row r="11" spans="1:10" ht="29.25" customHeight="1">
      <c r="B11" s="973" t="s">
        <v>6</v>
      </c>
      <c r="C11" s="1792" t="s">
        <v>1353</v>
      </c>
      <c r="D11" s="1793"/>
      <c r="E11" s="1793"/>
      <c r="F11" s="1793"/>
      <c r="G11" s="1793"/>
      <c r="H11" s="1794"/>
      <c r="I11" s="1795"/>
      <c r="J11" s="1796"/>
    </row>
    <row r="12" spans="1:10" ht="29.25" customHeight="1">
      <c r="B12" s="974"/>
      <c r="C12" s="311" t="s">
        <v>842</v>
      </c>
      <c r="D12" s="235"/>
      <c r="E12" s="235"/>
      <c r="F12" s="235"/>
      <c r="G12" s="1790"/>
      <c r="H12" s="1797"/>
      <c r="I12" s="1790"/>
      <c r="J12" s="1791"/>
    </row>
    <row r="13" spans="1:10" ht="30.75" customHeight="1">
      <c r="B13" s="974"/>
      <c r="C13" s="244" t="s">
        <v>448</v>
      </c>
      <c r="D13" s="963"/>
      <c r="E13" s="964"/>
      <c r="F13" s="964"/>
      <c r="G13" s="964"/>
      <c r="H13" s="964"/>
      <c r="I13" s="964"/>
      <c r="J13" s="965"/>
    </row>
    <row r="14" spans="1:10" ht="30.75" customHeight="1">
      <c r="B14" s="974"/>
      <c r="C14" s="954" t="s">
        <v>958</v>
      </c>
      <c r="D14" s="1800"/>
      <c r="E14" s="1800"/>
      <c r="F14" s="1800"/>
      <c r="G14" s="1800"/>
      <c r="H14" s="1801"/>
      <c r="I14" s="1778"/>
      <c r="J14" s="1779"/>
    </row>
    <row r="15" spans="1:10" ht="30.75" customHeight="1" thickBot="1">
      <c r="B15" s="975"/>
      <c r="C15" s="269" t="s">
        <v>448</v>
      </c>
      <c r="D15" s="970"/>
      <c r="E15" s="971"/>
      <c r="F15" s="971"/>
      <c r="G15" s="971"/>
      <c r="H15" s="971"/>
      <c r="I15" s="971"/>
      <c r="J15" s="972"/>
    </row>
    <row r="16" spans="1:10" ht="30.75" customHeight="1">
      <c r="B16" s="973" t="s">
        <v>7</v>
      </c>
      <c r="C16" s="1798" t="s">
        <v>1346</v>
      </c>
      <c r="D16" s="1798"/>
      <c r="E16" s="1798"/>
      <c r="F16" s="1798"/>
      <c r="G16" s="1798"/>
      <c r="H16" s="1798"/>
      <c r="I16" s="1798"/>
      <c r="J16" s="1799"/>
    </row>
    <row r="17" spans="2:10" ht="30.75" customHeight="1">
      <c r="B17" s="974"/>
      <c r="C17" s="1780" t="s">
        <v>877</v>
      </c>
      <c r="D17" s="1780"/>
      <c r="E17" s="245" t="s">
        <v>450</v>
      </c>
      <c r="F17" s="1759" t="s">
        <v>468</v>
      </c>
      <c r="G17" s="1759"/>
      <c r="H17" s="1759"/>
      <c r="I17" s="1759"/>
      <c r="J17" s="1785"/>
    </row>
    <row r="18" spans="2:10" ht="15" customHeight="1">
      <c r="B18" s="974"/>
      <c r="C18" s="954" t="s">
        <v>1072</v>
      </c>
      <c r="D18" s="955"/>
      <c r="E18" s="438"/>
      <c r="F18" s="961"/>
      <c r="G18" s="961"/>
      <c r="H18" s="961"/>
      <c r="I18" s="961"/>
      <c r="J18" s="962"/>
    </row>
    <row r="19" spans="2:10" ht="15" customHeight="1">
      <c r="B19" s="974"/>
      <c r="C19" s="954" t="s">
        <v>1183</v>
      </c>
      <c r="D19" s="955"/>
      <c r="E19" s="438"/>
      <c r="F19" s="961"/>
      <c r="G19" s="961"/>
      <c r="H19" s="961"/>
      <c r="I19" s="961"/>
      <c r="J19" s="962"/>
    </row>
    <row r="20" spans="2:10" ht="15" customHeight="1">
      <c r="B20" s="974"/>
      <c r="C20" s="954" t="s">
        <v>1073</v>
      </c>
      <c r="D20" s="955"/>
      <c r="E20" s="438"/>
      <c r="F20" s="961"/>
      <c r="G20" s="961"/>
      <c r="H20" s="961"/>
      <c r="I20" s="961"/>
      <c r="J20" s="962"/>
    </row>
    <row r="21" spans="2:10" ht="15" customHeight="1">
      <c r="B21" s="974"/>
      <c r="C21" s="954" t="s">
        <v>1074</v>
      </c>
      <c r="D21" s="955"/>
      <c r="E21" s="438"/>
      <c r="F21" s="961"/>
      <c r="G21" s="961"/>
      <c r="H21" s="961"/>
      <c r="I21" s="961"/>
      <c r="J21" s="962"/>
    </row>
    <row r="22" spans="2:10" ht="15" customHeight="1">
      <c r="B22" s="974"/>
      <c r="C22" s="954" t="s">
        <v>1075</v>
      </c>
      <c r="D22" s="955"/>
      <c r="E22" s="438"/>
      <c r="F22" s="961"/>
      <c r="G22" s="961"/>
      <c r="H22" s="961"/>
      <c r="I22" s="961"/>
      <c r="J22" s="962"/>
    </row>
    <row r="23" spans="2:10" ht="15" customHeight="1">
      <c r="B23" s="974"/>
      <c r="C23" s="954" t="s">
        <v>1076</v>
      </c>
      <c r="D23" s="955"/>
      <c r="E23" s="438"/>
      <c r="F23" s="961"/>
      <c r="G23" s="961"/>
      <c r="H23" s="961"/>
      <c r="I23" s="961"/>
      <c r="J23" s="962"/>
    </row>
    <row r="24" spans="2:10" ht="15" customHeight="1">
      <c r="B24" s="974"/>
      <c r="C24" s="954" t="s">
        <v>1077</v>
      </c>
      <c r="D24" s="955"/>
      <c r="E24" s="438"/>
      <c r="F24" s="961"/>
      <c r="G24" s="961"/>
      <c r="H24" s="961"/>
      <c r="I24" s="961"/>
      <c r="J24" s="962"/>
    </row>
    <row r="25" spans="2:10" ht="15" customHeight="1">
      <c r="B25" s="974"/>
      <c r="C25" s="954" t="s">
        <v>1192</v>
      </c>
      <c r="D25" s="955"/>
      <c r="E25" s="438"/>
      <c r="F25" s="961"/>
      <c r="G25" s="961"/>
      <c r="H25" s="961"/>
      <c r="I25" s="961"/>
      <c r="J25" s="962"/>
    </row>
    <row r="26" spans="2:10" ht="15" customHeight="1">
      <c r="B26" s="974"/>
      <c r="C26" s="954" t="s">
        <v>1078</v>
      </c>
      <c r="D26" s="955"/>
      <c r="E26" s="438"/>
      <c r="F26" s="961"/>
      <c r="G26" s="961"/>
      <c r="H26" s="961"/>
      <c r="I26" s="961"/>
      <c r="J26" s="962"/>
    </row>
    <row r="27" spans="2:10" ht="15" customHeight="1">
      <c r="B27" s="974"/>
      <c r="C27" s="243" t="s">
        <v>107</v>
      </c>
      <c r="D27" s="558"/>
      <c r="E27" s="438"/>
      <c r="F27" s="961"/>
      <c r="G27" s="961"/>
      <c r="H27" s="961"/>
      <c r="I27" s="961"/>
      <c r="J27" s="962"/>
    </row>
    <row r="28" spans="2:10" ht="15" customHeight="1" thickBot="1">
      <c r="B28" s="975"/>
      <c r="C28" s="201" t="s">
        <v>107</v>
      </c>
      <c r="D28" s="559"/>
      <c r="E28" s="440"/>
      <c r="F28" s="966"/>
      <c r="G28" s="966"/>
      <c r="H28" s="966"/>
      <c r="I28" s="966"/>
      <c r="J28" s="967"/>
    </row>
    <row r="29" spans="2:10" ht="30" customHeight="1">
      <c r="B29" s="1781" t="s">
        <v>48</v>
      </c>
      <c r="C29" s="1782"/>
      <c r="D29" s="1122"/>
      <c r="E29" s="1783"/>
      <c r="F29" s="1783"/>
      <c r="G29" s="1783"/>
      <c r="H29" s="1783"/>
      <c r="I29" s="1783"/>
      <c r="J29" s="1784"/>
    </row>
    <row r="30" spans="2:10">
      <c r="B30" s="59"/>
      <c r="J30" s="60"/>
    </row>
    <row r="31" spans="2:10" ht="13.5" thickBot="1">
      <c r="B31" s="978" t="s">
        <v>4</v>
      </c>
      <c r="C31" s="979"/>
      <c r="D31" s="979"/>
      <c r="E31" s="979"/>
      <c r="F31" s="979"/>
      <c r="G31" s="979"/>
      <c r="H31" s="979"/>
      <c r="I31" s="979"/>
      <c r="J31" s="980"/>
    </row>
  </sheetData>
  <sheetProtection password="C288" sheet="1"/>
  <mergeCells count="51">
    <mergeCell ref="C14:H14"/>
    <mergeCell ref="D15:J15"/>
    <mergeCell ref="D7:J7"/>
    <mergeCell ref="I8:J8"/>
    <mergeCell ref="I12:J12"/>
    <mergeCell ref="C4:H4"/>
    <mergeCell ref="F21:J21"/>
    <mergeCell ref="C11:H11"/>
    <mergeCell ref="I11:J11"/>
    <mergeCell ref="D13:J13"/>
    <mergeCell ref="G12:H12"/>
    <mergeCell ref="F18:J18"/>
    <mergeCell ref="B31:J31"/>
    <mergeCell ref="F28:J28"/>
    <mergeCell ref="C18:D18"/>
    <mergeCell ref="C19:D19"/>
    <mergeCell ref="C20:D20"/>
    <mergeCell ref="C21:D21"/>
    <mergeCell ref="F19:J19"/>
    <mergeCell ref="C25:D25"/>
    <mergeCell ref="F25:J25"/>
    <mergeCell ref="F20:J20"/>
    <mergeCell ref="B3:J3"/>
    <mergeCell ref="B4:B10"/>
    <mergeCell ref="I4:J4"/>
    <mergeCell ref="D5:J5"/>
    <mergeCell ref="C8:H8"/>
    <mergeCell ref="I9:J9"/>
    <mergeCell ref="D10:J10"/>
    <mergeCell ref="C9:H9"/>
    <mergeCell ref="C6:H6"/>
    <mergeCell ref="I6:J6"/>
    <mergeCell ref="B29:C29"/>
    <mergeCell ref="D29:J29"/>
    <mergeCell ref="F17:J17"/>
    <mergeCell ref="B16:B28"/>
    <mergeCell ref="F23:J23"/>
    <mergeCell ref="C24:D24"/>
    <mergeCell ref="F24:J24"/>
    <mergeCell ref="F27:J27"/>
    <mergeCell ref="C16:J16"/>
    <mergeCell ref="I14:J14"/>
    <mergeCell ref="E2:F2"/>
    <mergeCell ref="B11:B15"/>
    <mergeCell ref="F26:J26"/>
    <mergeCell ref="C22:D22"/>
    <mergeCell ref="C23:D23"/>
    <mergeCell ref="C26:D26"/>
    <mergeCell ref="F22:J22"/>
    <mergeCell ref="C17:D17"/>
    <mergeCell ref="B2:C2"/>
  </mergeCells>
  <dataValidations count="4">
    <dataValidation type="list" allowBlank="1" showInputMessage="1" showErrorMessage="1" sqref="I8:J9 E18:E28">
      <formula1>YesNoNA</formula1>
    </dataValidation>
    <dataValidation type="list" allowBlank="1" showInputMessage="1" showErrorMessage="1" sqref="I4:J4 I6:J6">
      <formula1>DepLevel</formula1>
    </dataValidation>
    <dataValidation type="list" allowBlank="1" showInputMessage="1" showErrorMessage="1" sqref="I11:J11 I14:J14">
      <formula1>ImpactLevel</formula1>
    </dataValidation>
    <dataValidation type="list" allowBlank="1" showInputMessage="1" showErrorMessage="1" sqref="G12:J12">
      <formula1>ConsolFactors</formula1>
    </dataValidation>
  </dataValidations>
  <hyperlinks>
    <hyperlink ref="B2:C2" location="'12a'!A1" tooltip="Competitive Factors" display="Previous Page"/>
    <hyperlink ref="E2" location="'Table of Contents'!A1" tooltip="Table of Contents" display="Table of Contents"/>
    <hyperlink ref="J2" location="'12c'!A1" tooltip="Competitive Factors (continued)" display="Next Page"/>
  </hyperlinks>
  <pageMargins left="0.25" right="0.25" top="0.75" bottom="0.75" header="0.3" footer="0.3"/>
  <pageSetup scale="77" orientation="landscape" cellComments="atEnd" r:id="rId1"/>
  <headerFooter>
    <oddHeader>&amp;F</oddHeader>
    <oddFoote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showRowColHeaders="0" zoomScaleNormal="100" workbookViewId="0"/>
  </sheetViews>
  <sheetFormatPr defaultColWidth="27" defaultRowHeight="12.75"/>
  <cols>
    <col min="1" max="1" width="8.5703125" style="57" customWidth="1"/>
    <col min="2" max="2" width="3.7109375" style="57" customWidth="1"/>
    <col min="3" max="3" width="10.28515625" style="57" customWidth="1"/>
    <col min="4" max="4" width="33.28515625" style="57" customWidth="1"/>
    <col min="5" max="5" width="19.140625" style="57" customWidth="1"/>
    <col min="6" max="6" width="18.5703125" style="57" customWidth="1"/>
    <col min="7" max="7" width="18.140625" style="57" customWidth="1"/>
    <col min="8" max="8" width="15.5703125" style="57" customWidth="1"/>
    <col min="9" max="9" width="15.5703125" style="58" customWidth="1"/>
    <col min="10" max="10" width="15.5703125" style="57" customWidth="1"/>
    <col min="11" max="251" width="8.85546875" style="57" customWidth="1"/>
    <col min="252" max="253" width="3.7109375" style="57" customWidth="1"/>
    <col min="254" max="16384" width="27" style="57"/>
  </cols>
  <sheetData>
    <row r="1" spans="1:10" ht="13.5" customHeight="1" thickBot="1">
      <c r="A1" s="195"/>
      <c r="B1" s="195"/>
      <c r="C1" s="195"/>
      <c r="D1" s="195"/>
      <c r="E1" s="195"/>
      <c r="F1" s="195"/>
      <c r="G1" s="195"/>
      <c r="H1" s="195"/>
      <c r="I1" s="196"/>
      <c r="J1" s="195"/>
    </row>
    <row r="2" spans="1:10" ht="13.5" customHeight="1" thickBot="1">
      <c r="A2" s="195"/>
      <c r="B2" s="655" t="s">
        <v>487</v>
      </c>
      <c r="C2" s="656"/>
      <c r="D2" s="143"/>
      <c r="E2" s="657" t="s">
        <v>1204</v>
      </c>
      <c r="F2" s="657"/>
      <c r="G2" s="657"/>
      <c r="H2" s="108"/>
      <c r="I2" s="15"/>
      <c r="J2" s="113" t="s">
        <v>486</v>
      </c>
    </row>
    <row r="3" spans="1:10" ht="13.5" customHeight="1" thickBot="1">
      <c r="A3" s="195"/>
      <c r="B3" s="958" t="s">
        <v>848</v>
      </c>
      <c r="C3" s="959"/>
      <c r="D3" s="959"/>
      <c r="E3" s="959"/>
      <c r="F3" s="959"/>
      <c r="G3" s="959"/>
      <c r="H3" s="959"/>
      <c r="I3" s="959"/>
      <c r="J3" s="960"/>
    </row>
    <row r="4" spans="1:10" ht="30" customHeight="1">
      <c r="A4" s="195"/>
      <c r="B4" s="1133" t="s">
        <v>5</v>
      </c>
      <c r="C4" s="1138" t="s">
        <v>1347</v>
      </c>
      <c r="D4" s="1138"/>
      <c r="E4" s="1138"/>
      <c r="F4" s="1138"/>
      <c r="G4" s="1138"/>
      <c r="H4" s="1138"/>
      <c r="I4" s="1138"/>
      <c r="J4" s="1139"/>
    </row>
    <row r="5" spans="1:10" ht="45" customHeight="1">
      <c r="A5" s="195"/>
      <c r="B5" s="1134"/>
      <c r="C5" s="1108" t="s">
        <v>959</v>
      </c>
      <c r="D5" s="1109"/>
      <c r="E5" s="1110"/>
      <c r="F5" s="365" t="s">
        <v>901</v>
      </c>
      <c r="G5" s="1140" t="s">
        <v>497</v>
      </c>
      <c r="H5" s="1141"/>
      <c r="I5" s="1141"/>
      <c r="J5" s="1142"/>
    </row>
    <row r="6" spans="1:10" ht="30" customHeight="1">
      <c r="A6" s="195"/>
      <c r="B6" s="1135"/>
      <c r="C6" s="1119" t="s">
        <v>1348</v>
      </c>
      <c r="D6" s="1805"/>
      <c r="E6" s="1806"/>
      <c r="F6" s="560"/>
      <c r="G6" s="1802"/>
      <c r="H6" s="1803"/>
      <c r="I6" s="1803"/>
      <c r="J6" s="1804"/>
    </row>
    <row r="7" spans="1:10" ht="30" customHeight="1">
      <c r="A7" s="195"/>
      <c r="B7" s="1135"/>
      <c r="C7" s="1118" t="s">
        <v>900</v>
      </c>
      <c r="D7" s="1118"/>
      <c r="E7" s="1119"/>
      <c r="F7" s="560"/>
      <c r="G7" s="1802"/>
      <c r="H7" s="1803"/>
      <c r="I7" s="1803"/>
      <c r="J7" s="1804"/>
    </row>
    <row r="8" spans="1:10" ht="30" customHeight="1">
      <c r="A8" s="195"/>
      <c r="B8" s="1135"/>
      <c r="C8" s="1118" t="s">
        <v>899</v>
      </c>
      <c r="D8" s="1127"/>
      <c r="E8" s="1128"/>
      <c r="F8" s="560"/>
      <c r="G8" s="1802"/>
      <c r="H8" s="1803"/>
      <c r="I8" s="1803"/>
      <c r="J8" s="1804"/>
    </row>
    <row r="9" spans="1:10" ht="30" customHeight="1">
      <c r="A9" s="195"/>
      <c r="B9" s="1135"/>
      <c r="C9" s="1118" t="s">
        <v>1179</v>
      </c>
      <c r="D9" s="1127"/>
      <c r="E9" s="1128"/>
      <c r="F9" s="560"/>
      <c r="G9" s="1802"/>
      <c r="H9" s="1803"/>
      <c r="I9" s="1803"/>
      <c r="J9" s="1804"/>
    </row>
    <row r="10" spans="1:10" ht="30" customHeight="1">
      <c r="A10" s="195"/>
      <c r="B10" s="1135"/>
      <c r="C10" s="1118" t="s">
        <v>1285</v>
      </c>
      <c r="D10" s="1127"/>
      <c r="E10" s="1128"/>
      <c r="F10" s="560"/>
      <c r="G10" s="1802"/>
      <c r="H10" s="1803"/>
      <c r="I10" s="1803"/>
      <c r="J10" s="1804"/>
    </row>
    <row r="11" spans="1:10" ht="44.25" customHeight="1">
      <c r="A11" s="195"/>
      <c r="B11" s="1135"/>
      <c r="C11" s="1118" t="s">
        <v>1286</v>
      </c>
      <c r="D11" s="1127"/>
      <c r="E11" s="1128"/>
      <c r="F11" s="560"/>
      <c r="G11" s="1802"/>
      <c r="H11" s="1803"/>
      <c r="I11" s="1803"/>
      <c r="J11" s="1804"/>
    </row>
    <row r="12" spans="1:10" ht="15.75" customHeight="1">
      <c r="A12" s="195"/>
      <c r="B12" s="1136"/>
      <c r="C12" s="366" t="s">
        <v>107</v>
      </c>
      <c r="D12" s="1129" t="s">
        <v>405</v>
      </c>
      <c r="E12" s="1130"/>
      <c r="F12" s="560"/>
      <c r="G12" s="1802"/>
      <c r="H12" s="1803"/>
      <c r="I12" s="1803"/>
      <c r="J12" s="1804"/>
    </row>
    <row r="13" spans="1:10" ht="15.75" customHeight="1" thickBot="1">
      <c r="A13" s="195"/>
      <c r="B13" s="1137"/>
      <c r="C13" s="367" t="s">
        <v>107</v>
      </c>
      <c r="D13" s="1131" t="s">
        <v>405</v>
      </c>
      <c r="E13" s="1132"/>
      <c r="F13" s="560"/>
      <c r="G13" s="1802"/>
      <c r="H13" s="1803"/>
      <c r="I13" s="1803"/>
      <c r="J13" s="1804"/>
    </row>
    <row r="14" spans="1:10" ht="30.75" customHeight="1">
      <c r="B14" s="1143" t="s">
        <v>48</v>
      </c>
      <c r="C14" s="1144"/>
      <c r="D14" s="939"/>
      <c r="E14" s="940"/>
      <c r="F14" s="940"/>
      <c r="G14" s="940"/>
      <c r="H14" s="940"/>
      <c r="I14" s="940"/>
      <c r="J14" s="941"/>
    </row>
    <row r="15" spans="1:10">
      <c r="B15" s="59"/>
      <c r="J15" s="60"/>
    </row>
    <row r="16" spans="1:10" ht="13.5" thickBot="1">
      <c r="B16" s="978" t="s">
        <v>4</v>
      </c>
      <c r="C16" s="979"/>
      <c r="D16" s="979"/>
      <c r="E16" s="979"/>
      <c r="F16" s="979"/>
      <c r="G16" s="979"/>
      <c r="H16" s="979"/>
      <c r="I16" s="979"/>
      <c r="J16" s="980"/>
    </row>
  </sheetData>
  <sheetProtection password="C288" sheet="1"/>
  <mergeCells count="26">
    <mergeCell ref="B2:C2"/>
    <mergeCell ref="B3:J3"/>
    <mergeCell ref="B4:B13"/>
    <mergeCell ref="C4:J4"/>
    <mergeCell ref="C5:E5"/>
    <mergeCell ref="G5:J5"/>
    <mergeCell ref="C6:E6"/>
    <mergeCell ref="G6:J6"/>
    <mergeCell ref="C7:E7"/>
    <mergeCell ref="G7:J7"/>
    <mergeCell ref="C8:E8"/>
    <mergeCell ref="G8:J8"/>
    <mergeCell ref="C9:E9"/>
    <mergeCell ref="G9:J9"/>
    <mergeCell ref="C10:E10"/>
    <mergeCell ref="G10:J10"/>
    <mergeCell ref="E2:G2"/>
    <mergeCell ref="C11:E11"/>
    <mergeCell ref="G11:J11"/>
    <mergeCell ref="B16:J16"/>
    <mergeCell ref="D12:E12"/>
    <mergeCell ref="G12:J12"/>
    <mergeCell ref="D13:E13"/>
    <mergeCell ref="G13:J13"/>
    <mergeCell ref="B14:C14"/>
    <mergeCell ref="D14:J14"/>
  </mergeCells>
  <dataValidations count="1">
    <dataValidation type="list" allowBlank="1" showInputMessage="1" showErrorMessage="1" sqref="F6:F13">
      <formula1>BusinessImpact</formula1>
    </dataValidation>
  </dataValidations>
  <hyperlinks>
    <hyperlink ref="B2:C2" location="'12b'!A1" tooltip="Competitive Factors (continued)" display="Previous Page"/>
    <hyperlink ref="E2" location="'Table of Contents'!A1" tooltip="Table of Contents" display="Table of Contents"/>
    <hyperlink ref="J2" location="'13a'!A1" tooltip="Cyber Security" display="Next Page"/>
  </hyperlinks>
  <pageMargins left="0.25" right="0.25" top="0.75" bottom="0.75" header="0.3" footer="0.3"/>
  <pageSetup scale="90" orientation="landscape" cellComments="atEnd" verticalDpi="0" r:id="rId1"/>
  <headerFooter>
    <oddHeader>&amp;F</oddHeader>
    <oddFoote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showRowColHeaders="0" zoomScaleNormal="100" workbookViewId="0"/>
  </sheetViews>
  <sheetFormatPr defaultRowHeight="15"/>
  <cols>
    <col min="1" max="1" width="9.140625" style="364"/>
    <col min="2" max="2" width="3.5703125" style="364" customWidth="1"/>
    <col min="3" max="3" width="9.140625" style="364"/>
    <col min="4" max="4" width="37.85546875" style="364" customWidth="1"/>
    <col min="5" max="6" width="10.28515625" style="364" customWidth="1"/>
    <col min="7" max="9" width="16.85546875" style="364" customWidth="1"/>
    <col min="10" max="16384" width="9.140625" style="364"/>
  </cols>
  <sheetData>
    <row r="1" spans="1:10" ht="15.75" thickBot="1">
      <c r="A1" s="363"/>
      <c r="B1" s="363"/>
      <c r="C1" s="363"/>
      <c r="D1" s="363"/>
      <c r="E1" s="363"/>
      <c r="F1" s="363"/>
      <c r="G1" s="363"/>
      <c r="H1" s="363"/>
      <c r="I1" s="363"/>
      <c r="J1" s="363"/>
    </row>
    <row r="2" spans="1:10" ht="13.5" customHeight="1" thickBot="1">
      <c r="A2" s="363"/>
      <c r="B2" s="655" t="s">
        <v>487</v>
      </c>
      <c r="C2" s="656"/>
      <c r="D2" s="656"/>
      <c r="E2" s="657" t="s">
        <v>1204</v>
      </c>
      <c r="F2" s="657"/>
      <c r="G2" s="657"/>
      <c r="H2" s="237"/>
      <c r="I2" s="574" t="s">
        <v>486</v>
      </c>
      <c r="J2" s="363"/>
    </row>
    <row r="3" spans="1:10" ht="13.5" customHeight="1" thickBot="1">
      <c r="A3" s="363"/>
      <c r="B3" s="806" t="s">
        <v>859</v>
      </c>
      <c r="C3" s="807"/>
      <c r="D3" s="807"/>
      <c r="E3" s="807"/>
      <c r="F3" s="807"/>
      <c r="G3" s="807"/>
      <c r="H3" s="807"/>
      <c r="I3" s="808"/>
      <c r="J3" s="363"/>
    </row>
    <row r="4" spans="1:10" ht="25.5" customHeight="1">
      <c r="A4" s="363"/>
      <c r="B4" s="1816" t="s">
        <v>5</v>
      </c>
      <c r="C4" s="1818" t="s">
        <v>960</v>
      </c>
      <c r="D4" s="798"/>
      <c r="E4" s="798"/>
      <c r="F4" s="798"/>
      <c r="G4" s="1253"/>
      <c r="H4" s="1826" t="s">
        <v>860</v>
      </c>
      <c r="I4" s="1827"/>
      <c r="J4" s="363"/>
    </row>
    <row r="5" spans="1:10" ht="15.75" thickBot="1">
      <c r="A5" s="363"/>
      <c r="B5" s="1817"/>
      <c r="C5" s="1819"/>
      <c r="D5" s="758"/>
      <c r="E5" s="758"/>
      <c r="F5" s="758"/>
      <c r="G5" s="759"/>
      <c r="H5" s="1324"/>
      <c r="I5" s="1807"/>
      <c r="J5" s="363"/>
    </row>
    <row r="6" spans="1:10">
      <c r="A6" s="363"/>
      <c r="B6" s="781" t="s">
        <v>6</v>
      </c>
      <c r="C6" s="1820" t="s">
        <v>861</v>
      </c>
      <c r="D6" s="1820"/>
      <c r="E6" s="1820"/>
      <c r="F6" s="1820"/>
      <c r="G6" s="1820"/>
      <c r="H6" s="1822"/>
      <c r="I6" s="1823"/>
      <c r="J6" s="363"/>
    </row>
    <row r="7" spans="1:10" ht="15.75" thickBot="1">
      <c r="A7" s="363"/>
      <c r="B7" s="809"/>
      <c r="C7" s="1735" t="s">
        <v>862</v>
      </c>
      <c r="D7" s="1736"/>
      <c r="E7" s="1736"/>
      <c r="F7" s="1736"/>
      <c r="G7" s="1821"/>
      <c r="H7" s="1824"/>
      <c r="I7" s="1825"/>
      <c r="J7" s="363"/>
    </row>
    <row r="8" spans="1:10" ht="30" customHeight="1">
      <c r="A8" s="363"/>
      <c r="B8" s="840" t="s">
        <v>7</v>
      </c>
      <c r="C8" s="1285" t="s">
        <v>1203</v>
      </c>
      <c r="D8" s="1285"/>
      <c r="E8" s="1285"/>
      <c r="F8" s="1285"/>
      <c r="G8" s="1285"/>
      <c r="H8" s="1285"/>
      <c r="I8" s="1286"/>
      <c r="J8" s="363"/>
    </row>
    <row r="9" spans="1:10" ht="15" customHeight="1">
      <c r="A9" s="363"/>
      <c r="B9" s="838"/>
      <c r="C9" s="1297" t="s">
        <v>1193</v>
      </c>
      <c r="D9" s="1297"/>
      <c r="E9" s="1297"/>
      <c r="F9" s="238" t="s">
        <v>450</v>
      </c>
      <c r="G9" s="1299" t="s">
        <v>497</v>
      </c>
      <c r="H9" s="1299"/>
      <c r="I9" s="1300"/>
      <c r="J9" s="363"/>
    </row>
    <row r="10" spans="1:10" ht="30" customHeight="1">
      <c r="A10" s="363"/>
      <c r="B10" s="838"/>
      <c r="C10" s="1412" t="s">
        <v>863</v>
      </c>
      <c r="D10" s="1412"/>
      <c r="E10" s="853"/>
      <c r="F10" s="462"/>
      <c r="G10" s="1278"/>
      <c r="H10" s="1278"/>
      <c r="I10" s="1279"/>
      <c r="J10" s="363"/>
    </row>
    <row r="11" spans="1:10" ht="36.75" customHeight="1">
      <c r="A11" s="363"/>
      <c r="B11" s="838"/>
      <c r="C11" s="1412" t="s">
        <v>864</v>
      </c>
      <c r="D11" s="1412"/>
      <c r="E11" s="853"/>
      <c r="F11" s="462"/>
      <c r="G11" s="1278"/>
      <c r="H11" s="1278"/>
      <c r="I11" s="1279"/>
      <c r="J11" s="363"/>
    </row>
    <row r="12" spans="1:10" ht="30" customHeight="1">
      <c r="A12" s="363"/>
      <c r="B12" s="838"/>
      <c r="C12" s="1412" t="s">
        <v>865</v>
      </c>
      <c r="D12" s="1412"/>
      <c r="E12" s="853"/>
      <c r="F12" s="462"/>
      <c r="G12" s="1278"/>
      <c r="H12" s="1278"/>
      <c r="I12" s="1279"/>
      <c r="J12" s="363"/>
    </row>
    <row r="13" spans="1:10" ht="30" customHeight="1">
      <c r="A13" s="363"/>
      <c r="B13" s="838"/>
      <c r="C13" s="1412" t="s">
        <v>866</v>
      </c>
      <c r="D13" s="1412"/>
      <c r="E13" s="853"/>
      <c r="F13" s="462"/>
      <c r="G13" s="1278"/>
      <c r="H13" s="1278"/>
      <c r="I13" s="1279"/>
      <c r="J13" s="363"/>
    </row>
    <row r="14" spans="1:10" ht="30" customHeight="1">
      <c r="A14" s="363"/>
      <c r="B14" s="838"/>
      <c r="C14" s="1412" t="s">
        <v>867</v>
      </c>
      <c r="D14" s="1412"/>
      <c r="E14" s="853"/>
      <c r="F14" s="462"/>
      <c r="G14" s="1278"/>
      <c r="H14" s="1278"/>
      <c r="I14" s="1279"/>
      <c r="J14" s="363"/>
    </row>
    <row r="15" spans="1:10" ht="30" customHeight="1">
      <c r="A15" s="363"/>
      <c r="B15" s="838"/>
      <c r="C15" s="1412" t="s">
        <v>868</v>
      </c>
      <c r="D15" s="1412"/>
      <c r="E15" s="853"/>
      <c r="F15" s="462"/>
      <c r="G15" s="1278"/>
      <c r="H15" s="1278"/>
      <c r="I15" s="1279"/>
      <c r="J15" s="363"/>
    </row>
    <row r="16" spans="1:10" ht="30" customHeight="1">
      <c r="A16" s="363"/>
      <c r="B16" s="838"/>
      <c r="C16" s="1412" t="s">
        <v>869</v>
      </c>
      <c r="D16" s="1412"/>
      <c r="E16" s="853"/>
      <c r="F16" s="462"/>
      <c r="G16" s="1278"/>
      <c r="H16" s="1278"/>
      <c r="I16" s="1279"/>
      <c r="J16" s="363"/>
    </row>
    <row r="17" spans="1:10" ht="30" customHeight="1">
      <c r="A17" s="363"/>
      <c r="B17" s="838"/>
      <c r="C17" s="1412" t="s">
        <v>870</v>
      </c>
      <c r="D17" s="1412"/>
      <c r="E17" s="853"/>
      <c r="F17" s="462"/>
      <c r="G17" s="1278"/>
      <c r="H17" s="1278"/>
      <c r="I17" s="1279"/>
      <c r="J17" s="363"/>
    </row>
    <row r="18" spans="1:10" ht="30" customHeight="1">
      <c r="A18" s="363"/>
      <c r="B18" s="838"/>
      <c r="C18" s="1412" t="s">
        <v>871</v>
      </c>
      <c r="D18" s="1412"/>
      <c r="E18" s="853"/>
      <c r="F18" s="462"/>
      <c r="G18" s="1278"/>
      <c r="H18" s="1278"/>
      <c r="I18" s="1279"/>
      <c r="J18" s="363"/>
    </row>
    <row r="19" spans="1:10" ht="30" customHeight="1">
      <c r="A19" s="363"/>
      <c r="B19" s="838"/>
      <c r="C19" s="1412" t="s">
        <v>872</v>
      </c>
      <c r="D19" s="1412"/>
      <c r="E19" s="853"/>
      <c r="F19" s="462"/>
      <c r="G19" s="1278"/>
      <c r="H19" s="1278"/>
      <c r="I19" s="1279"/>
      <c r="J19" s="363"/>
    </row>
    <row r="20" spans="1:10" ht="30" customHeight="1" thickBot="1">
      <c r="A20" s="363"/>
      <c r="B20" s="783"/>
      <c r="C20" s="1811" t="s">
        <v>873</v>
      </c>
      <c r="D20" s="1811"/>
      <c r="E20" s="772"/>
      <c r="F20" s="463"/>
      <c r="G20" s="1307"/>
      <c r="H20" s="1307"/>
      <c r="I20" s="1308"/>
      <c r="J20" s="363"/>
    </row>
    <row r="21" spans="1:10" ht="30" customHeight="1" thickBot="1">
      <c r="A21" s="363"/>
      <c r="B21" s="1812" t="s">
        <v>48</v>
      </c>
      <c r="C21" s="1813"/>
      <c r="D21" s="1814"/>
      <c r="E21" s="1814"/>
      <c r="F21" s="1814"/>
      <c r="G21" s="1814"/>
      <c r="H21" s="1814"/>
      <c r="I21" s="1815"/>
      <c r="J21" s="363"/>
    </row>
    <row r="22" spans="1:10">
      <c r="A22" s="363"/>
      <c r="B22" s="1808" t="s">
        <v>4</v>
      </c>
      <c r="C22" s="1809"/>
      <c r="D22" s="1809"/>
      <c r="E22" s="1809"/>
      <c r="F22" s="1809"/>
      <c r="G22" s="1809"/>
      <c r="H22" s="1809"/>
      <c r="I22" s="1810"/>
      <c r="J22" s="363"/>
    </row>
    <row r="23" spans="1:10" ht="15.75" thickBot="1">
      <c r="A23" s="363"/>
      <c r="B23" s="778"/>
      <c r="C23" s="779"/>
      <c r="D23" s="779"/>
      <c r="E23" s="779"/>
      <c r="F23" s="779"/>
      <c r="G23" s="779"/>
      <c r="H23" s="779"/>
      <c r="I23" s="780"/>
      <c r="J23" s="363"/>
    </row>
  </sheetData>
  <sheetProtection password="C288" sheet="1"/>
  <mergeCells count="41">
    <mergeCell ref="H6:I6"/>
    <mergeCell ref="H7:I7"/>
    <mergeCell ref="H4:I4"/>
    <mergeCell ref="G11:I11"/>
    <mergeCell ref="C12:E12"/>
    <mergeCell ref="G12:I12"/>
    <mergeCell ref="B2:D2"/>
    <mergeCell ref="B3:I3"/>
    <mergeCell ref="B4:B5"/>
    <mergeCell ref="C4:G5"/>
    <mergeCell ref="B6:B7"/>
    <mergeCell ref="C6:G6"/>
    <mergeCell ref="C7:G7"/>
    <mergeCell ref="C18:E18"/>
    <mergeCell ref="G18:I18"/>
    <mergeCell ref="C13:E13"/>
    <mergeCell ref="G13:I13"/>
    <mergeCell ref="C14:E14"/>
    <mergeCell ref="G14:I14"/>
    <mergeCell ref="C15:E15"/>
    <mergeCell ref="G15:I15"/>
    <mergeCell ref="C8:I8"/>
    <mergeCell ref="C9:E9"/>
    <mergeCell ref="C16:E16"/>
    <mergeCell ref="G16:I16"/>
    <mergeCell ref="C17:E17"/>
    <mergeCell ref="G17:I17"/>
    <mergeCell ref="G9:I9"/>
    <mergeCell ref="C10:E10"/>
    <mergeCell ref="G10:I10"/>
    <mergeCell ref="C11:E11"/>
    <mergeCell ref="E2:G2"/>
    <mergeCell ref="H5:I5"/>
    <mergeCell ref="B22:I23"/>
    <mergeCell ref="C19:E19"/>
    <mergeCell ref="G19:I19"/>
    <mergeCell ref="C20:E20"/>
    <mergeCell ref="G20:I20"/>
    <mergeCell ref="B21:C21"/>
    <mergeCell ref="D21:I21"/>
    <mergeCell ref="B8:B20"/>
  </mergeCells>
  <dataValidations count="2">
    <dataValidation type="list" allowBlank="1" showInputMessage="1" showErrorMessage="1" sqref="H5:I5 F10:F20">
      <formula1>YesNo</formula1>
    </dataValidation>
    <dataValidation type="list" allowBlank="1" showInputMessage="1" showErrorMessage="1" sqref="H6:I7">
      <formula1>WhoResp</formula1>
    </dataValidation>
  </dataValidations>
  <hyperlinks>
    <hyperlink ref="I2" location="'13b'!A1" tooltip="Cyber Security (continued)" display="Next Page"/>
    <hyperlink ref="B2:D2" location="'12c'!A1" tooltip="Competitive Factors (continued)" display="Previous Page"/>
    <hyperlink ref="E2" location="'Table of Contents'!A1" tooltip="Table of Contents" display="Table of Contents"/>
  </hyperlinks>
  <pageMargins left="0.25" right="0.25" top="0.75" bottom="0.75" header="0.3" footer="0.3"/>
  <pageSetup scale="79" orientation="landscape" cellComments="atEnd" verticalDpi="0" r:id="rId1"/>
  <headerFooter>
    <oddHeader>&amp;F</oddHeader>
    <oddFoote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showGridLines="0" showRowColHeaders="0" zoomScaleNormal="100" workbookViewId="0"/>
  </sheetViews>
  <sheetFormatPr defaultRowHeight="15"/>
  <cols>
    <col min="1" max="1" width="9.140625" style="358"/>
    <col min="2" max="2" width="6.5703125" style="358" customWidth="1"/>
    <col min="3" max="3" width="3.7109375" style="358" customWidth="1"/>
    <col min="4" max="4" width="9.140625" style="358"/>
    <col min="5" max="5" width="12.85546875" style="358" customWidth="1"/>
    <col min="6" max="6" width="18.7109375" style="358" customWidth="1"/>
    <col min="7" max="7" width="11.85546875" style="358" customWidth="1"/>
    <col min="8" max="8" width="14.5703125" style="358" customWidth="1"/>
    <col min="9" max="9" width="37.28515625" style="358" customWidth="1"/>
    <col min="10" max="10" width="15.5703125" style="358" customWidth="1"/>
    <col min="11" max="11" width="9.140625" style="358"/>
    <col min="12" max="14" width="11.140625" style="358" customWidth="1"/>
    <col min="15" max="16384" width="9.140625" style="358"/>
  </cols>
  <sheetData>
    <row r="1" spans="2:11" ht="15.75" thickBot="1"/>
    <row r="2" spans="2:11" ht="13.5" customHeight="1" thickBot="1">
      <c r="B2" s="655" t="s">
        <v>487</v>
      </c>
      <c r="C2" s="656"/>
      <c r="D2" s="656"/>
      <c r="E2" s="657" t="s">
        <v>1204</v>
      </c>
      <c r="F2" s="657"/>
      <c r="G2" s="657"/>
      <c r="H2" s="657"/>
      <c r="I2" s="657"/>
      <c r="J2" s="239" t="s">
        <v>486</v>
      </c>
      <c r="K2" s="359"/>
    </row>
    <row r="3" spans="2:11" ht="13.5" customHeight="1" thickBot="1">
      <c r="B3" s="697" t="s">
        <v>874</v>
      </c>
      <c r="C3" s="1845"/>
      <c r="D3" s="1845"/>
      <c r="E3" s="1845"/>
      <c r="F3" s="1845"/>
      <c r="G3" s="1845"/>
      <c r="H3" s="1845"/>
      <c r="I3" s="1845"/>
      <c r="J3" s="1845"/>
      <c r="K3" s="359"/>
    </row>
    <row r="4" spans="2:11" ht="30" customHeight="1">
      <c r="B4" s="360" t="s">
        <v>5</v>
      </c>
      <c r="C4" s="839" t="s">
        <v>1184</v>
      </c>
      <c r="D4" s="798"/>
      <c r="E4" s="798"/>
      <c r="F4" s="798"/>
      <c r="G4" s="798"/>
      <c r="H4" s="798"/>
      <c r="I4" s="1253"/>
      <c r="J4" s="561"/>
      <c r="K4" s="359"/>
    </row>
    <row r="5" spans="2:11" ht="21.75" customHeight="1">
      <c r="B5" s="1831" t="s">
        <v>6</v>
      </c>
      <c r="C5" s="842" t="s">
        <v>1349</v>
      </c>
      <c r="D5" s="842"/>
      <c r="E5" s="842"/>
      <c r="F5" s="842"/>
      <c r="G5" s="842"/>
      <c r="H5" s="1843"/>
      <c r="I5" s="240" t="s">
        <v>875</v>
      </c>
      <c r="J5" s="633"/>
      <c r="K5" s="361"/>
    </row>
    <row r="6" spans="2:11" ht="21.75" customHeight="1">
      <c r="B6" s="1831"/>
      <c r="C6" s="1370"/>
      <c r="D6" s="1370"/>
      <c r="E6" s="1370"/>
      <c r="F6" s="1370"/>
      <c r="G6" s="1370"/>
      <c r="H6" s="1844"/>
      <c r="I6" s="362" t="s">
        <v>876</v>
      </c>
      <c r="J6" s="562"/>
      <c r="K6" s="361"/>
    </row>
    <row r="7" spans="2:11" ht="30" customHeight="1" thickBot="1">
      <c r="B7" s="1832"/>
      <c r="C7" s="773" t="s">
        <v>1350</v>
      </c>
      <c r="D7" s="773"/>
      <c r="E7" s="773"/>
      <c r="F7" s="773"/>
      <c r="G7" s="773"/>
      <c r="H7" s="773"/>
      <c r="I7" s="774"/>
      <c r="J7" s="563"/>
      <c r="K7" s="361"/>
    </row>
    <row r="8" spans="2:11" ht="30" customHeight="1">
      <c r="B8" s="1830" t="s">
        <v>7</v>
      </c>
      <c r="C8" s="1285" t="s">
        <v>1186</v>
      </c>
      <c r="D8" s="1285"/>
      <c r="E8" s="1285"/>
      <c r="F8" s="1285"/>
      <c r="G8" s="1285"/>
      <c r="H8" s="1285"/>
      <c r="I8" s="1285"/>
      <c r="J8" s="1286"/>
      <c r="K8" s="361"/>
    </row>
    <row r="9" spans="2:11" ht="30" customHeight="1">
      <c r="B9" s="1831"/>
      <c r="C9" s="1297" t="s">
        <v>1185</v>
      </c>
      <c r="D9" s="1297"/>
      <c r="E9" s="1297"/>
      <c r="F9" s="1297"/>
      <c r="G9" s="324" t="s">
        <v>878</v>
      </c>
      <c r="H9" s="761" t="s">
        <v>497</v>
      </c>
      <c r="I9" s="762"/>
      <c r="J9" s="763"/>
      <c r="K9" s="361"/>
    </row>
    <row r="10" spans="2:11" ht="30" customHeight="1">
      <c r="B10" s="1831"/>
      <c r="C10" s="1412" t="s">
        <v>879</v>
      </c>
      <c r="D10" s="1412"/>
      <c r="E10" s="1412"/>
      <c r="F10" s="853"/>
      <c r="G10" s="462"/>
      <c r="H10" s="1327"/>
      <c r="I10" s="1198"/>
      <c r="J10" s="1199"/>
      <c r="K10" s="361"/>
    </row>
    <row r="11" spans="2:11" ht="30" customHeight="1">
      <c r="B11" s="1831"/>
      <c r="C11" s="1412" t="s">
        <v>880</v>
      </c>
      <c r="D11" s="1412"/>
      <c r="E11" s="1412"/>
      <c r="F11" s="853"/>
      <c r="G11" s="462"/>
      <c r="H11" s="1327"/>
      <c r="I11" s="1198"/>
      <c r="J11" s="1199"/>
      <c r="K11" s="361"/>
    </row>
    <row r="12" spans="2:11" ht="30" customHeight="1">
      <c r="B12" s="1831"/>
      <c r="C12" s="1412" t="s">
        <v>881</v>
      </c>
      <c r="D12" s="1412"/>
      <c r="E12" s="1412"/>
      <c r="F12" s="853"/>
      <c r="G12" s="462"/>
      <c r="H12" s="1327"/>
      <c r="I12" s="1198"/>
      <c r="J12" s="1199"/>
      <c r="K12" s="361"/>
    </row>
    <row r="13" spans="2:11" ht="30" customHeight="1">
      <c r="B13" s="1831"/>
      <c r="C13" s="1412" t="s">
        <v>882</v>
      </c>
      <c r="D13" s="1412"/>
      <c r="E13" s="1412"/>
      <c r="F13" s="853"/>
      <c r="G13" s="462"/>
      <c r="H13" s="1327"/>
      <c r="I13" s="1198"/>
      <c r="J13" s="1199"/>
      <c r="K13" s="361"/>
    </row>
    <row r="14" spans="2:11" ht="30" customHeight="1">
      <c r="B14" s="1831"/>
      <c r="C14" s="1412" t="s">
        <v>883</v>
      </c>
      <c r="D14" s="1412"/>
      <c r="E14" s="1412"/>
      <c r="F14" s="853"/>
      <c r="G14" s="462"/>
      <c r="H14" s="1327"/>
      <c r="I14" s="1198"/>
      <c r="J14" s="1199"/>
      <c r="K14" s="361"/>
    </row>
    <row r="15" spans="2:11" ht="30" customHeight="1">
      <c r="B15" s="1831"/>
      <c r="C15" s="1412" t="s">
        <v>884</v>
      </c>
      <c r="D15" s="1412"/>
      <c r="E15" s="1412"/>
      <c r="F15" s="853"/>
      <c r="G15" s="462"/>
      <c r="H15" s="1327"/>
      <c r="I15" s="1198"/>
      <c r="J15" s="1199"/>
      <c r="K15" s="361"/>
    </row>
    <row r="16" spans="2:11" ht="30" customHeight="1">
      <c r="B16" s="1831"/>
      <c r="C16" s="1412" t="s">
        <v>885</v>
      </c>
      <c r="D16" s="1412"/>
      <c r="E16" s="1412"/>
      <c r="F16" s="853"/>
      <c r="G16" s="462"/>
      <c r="H16" s="1327"/>
      <c r="I16" s="1198"/>
      <c r="J16" s="1199"/>
      <c r="K16" s="361"/>
    </row>
    <row r="17" spans="2:11" ht="30" customHeight="1">
      <c r="B17" s="1831"/>
      <c r="C17" s="1412" t="s">
        <v>886</v>
      </c>
      <c r="D17" s="1412"/>
      <c r="E17" s="1412"/>
      <c r="F17" s="853"/>
      <c r="G17" s="462"/>
      <c r="H17" s="1327"/>
      <c r="I17" s="1198"/>
      <c r="J17" s="1199"/>
      <c r="K17" s="361"/>
    </row>
    <row r="18" spans="2:11" ht="30" customHeight="1">
      <c r="B18" s="1831"/>
      <c r="C18" s="1412" t="s">
        <v>887</v>
      </c>
      <c r="D18" s="1412"/>
      <c r="E18" s="1412"/>
      <c r="F18" s="853"/>
      <c r="G18" s="462"/>
      <c r="H18" s="1327"/>
      <c r="I18" s="1198"/>
      <c r="J18" s="1199"/>
      <c r="K18" s="361"/>
    </row>
    <row r="19" spans="2:11" ht="30" customHeight="1">
      <c r="B19" s="1831"/>
      <c r="C19" s="1412" t="s">
        <v>888</v>
      </c>
      <c r="D19" s="1412"/>
      <c r="E19" s="1412"/>
      <c r="F19" s="853"/>
      <c r="G19" s="462"/>
      <c r="H19" s="1327"/>
      <c r="I19" s="1198"/>
      <c r="J19" s="1199"/>
      <c r="K19" s="361"/>
    </row>
    <row r="20" spans="2:11" ht="30" customHeight="1">
      <c r="B20" s="1831"/>
      <c r="C20" s="1412" t="s">
        <v>889</v>
      </c>
      <c r="D20" s="1412"/>
      <c r="E20" s="1412"/>
      <c r="F20" s="853"/>
      <c r="G20" s="462"/>
      <c r="H20" s="1327"/>
      <c r="I20" s="1198"/>
      <c r="J20" s="1199"/>
      <c r="K20" s="361"/>
    </row>
    <row r="21" spans="2:11" ht="30" customHeight="1">
      <c r="B21" s="1831"/>
      <c r="C21" s="1412" t="s">
        <v>890</v>
      </c>
      <c r="D21" s="1412"/>
      <c r="E21" s="1626"/>
      <c r="F21" s="841"/>
      <c r="G21" s="462"/>
      <c r="H21" s="1327"/>
      <c r="I21" s="1198"/>
      <c r="J21" s="1199"/>
      <c r="K21" s="361"/>
    </row>
    <row r="22" spans="2:11" ht="30" customHeight="1">
      <c r="B22" s="1831"/>
      <c r="C22" s="1412" t="s">
        <v>107</v>
      </c>
      <c r="D22" s="1625"/>
      <c r="E22" s="1838" t="s">
        <v>405</v>
      </c>
      <c r="F22" s="1839"/>
      <c r="G22" s="462"/>
      <c r="H22" s="1327"/>
      <c r="I22" s="1198"/>
      <c r="J22" s="1199"/>
      <c r="K22" s="361"/>
    </row>
    <row r="23" spans="2:11" ht="30" customHeight="1">
      <c r="B23" s="1831"/>
      <c r="C23" s="1412" t="s">
        <v>107</v>
      </c>
      <c r="D23" s="1625"/>
      <c r="E23" s="1838" t="s">
        <v>405</v>
      </c>
      <c r="F23" s="1839"/>
      <c r="G23" s="462"/>
      <c r="H23" s="1327"/>
      <c r="I23" s="1198"/>
      <c r="J23" s="1199"/>
      <c r="K23" s="361"/>
    </row>
    <row r="24" spans="2:11" ht="30" customHeight="1" thickBot="1">
      <c r="B24" s="1832"/>
      <c r="C24" s="1811" t="s">
        <v>107</v>
      </c>
      <c r="D24" s="1833"/>
      <c r="E24" s="1834" t="s">
        <v>405</v>
      </c>
      <c r="F24" s="1835"/>
      <c r="G24" s="463"/>
      <c r="H24" s="1186"/>
      <c r="I24" s="1187"/>
      <c r="J24" s="1188"/>
      <c r="K24" s="361"/>
    </row>
    <row r="25" spans="2:11" ht="58.5" customHeight="1" thickBot="1">
      <c r="B25" s="1840" t="s">
        <v>1287</v>
      </c>
      <c r="C25" s="1841"/>
      <c r="D25" s="1841"/>
      <c r="E25" s="1841"/>
      <c r="F25" s="1841"/>
      <c r="G25" s="1841"/>
      <c r="H25" s="1841"/>
      <c r="I25" s="1841"/>
      <c r="J25" s="1842"/>
      <c r="K25" s="361"/>
    </row>
    <row r="26" spans="2:11" ht="30.75" customHeight="1">
      <c r="B26" s="1836" t="s">
        <v>891</v>
      </c>
      <c r="C26" s="1837"/>
      <c r="D26" s="1837"/>
      <c r="E26" s="1349"/>
      <c r="F26" s="1350"/>
      <c r="G26" s="1350"/>
      <c r="H26" s="1350"/>
      <c r="I26" s="1350"/>
      <c r="J26" s="1351"/>
      <c r="K26" s="361"/>
    </row>
    <row r="27" spans="2:11" ht="21" customHeight="1" thickBot="1">
      <c r="B27" s="1828" t="s">
        <v>4</v>
      </c>
      <c r="C27" s="1829"/>
      <c r="D27" s="1829"/>
      <c r="E27" s="1829"/>
      <c r="F27" s="1829"/>
      <c r="G27" s="1829"/>
      <c r="H27" s="1829"/>
      <c r="I27" s="1829"/>
      <c r="J27" s="1829"/>
      <c r="K27" s="359"/>
    </row>
  </sheetData>
  <sheetProtection password="C288" sheet="1"/>
  <mergeCells count="48">
    <mergeCell ref="B25:J25"/>
    <mergeCell ref="H9:J9"/>
    <mergeCell ref="C4:I4"/>
    <mergeCell ref="C5:H6"/>
    <mergeCell ref="C7:I7"/>
    <mergeCell ref="B3:J3"/>
    <mergeCell ref="B5:B7"/>
    <mergeCell ref="C10:F10"/>
    <mergeCell ref="C11:F11"/>
    <mergeCell ref="C18:F18"/>
    <mergeCell ref="H16:J16"/>
    <mergeCell ref="H17:J17"/>
    <mergeCell ref="C12:F12"/>
    <mergeCell ref="H10:J10"/>
    <mergeCell ref="H11:J11"/>
    <mergeCell ref="H12:J12"/>
    <mergeCell ref="C13:F13"/>
    <mergeCell ref="C14:F14"/>
    <mergeCell ref="C20:F20"/>
    <mergeCell ref="C21:F21"/>
    <mergeCell ref="H19:J19"/>
    <mergeCell ref="C15:F15"/>
    <mergeCell ref="H13:J13"/>
    <mergeCell ref="H14:J14"/>
    <mergeCell ref="H15:J15"/>
    <mergeCell ref="H21:J21"/>
    <mergeCell ref="C16:F16"/>
    <mergeCell ref="C17:F17"/>
    <mergeCell ref="E24:F24"/>
    <mergeCell ref="B26:D26"/>
    <mergeCell ref="E26:J26"/>
    <mergeCell ref="H18:J18"/>
    <mergeCell ref="E22:F22"/>
    <mergeCell ref="C23:D23"/>
    <mergeCell ref="E23:F23"/>
    <mergeCell ref="H22:J22"/>
    <mergeCell ref="H23:J23"/>
    <mergeCell ref="C19:F19"/>
    <mergeCell ref="B2:D2"/>
    <mergeCell ref="E2:I2"/>
    <mergeCell ref="B27:J27"/>
    <mergeCell ref="B8:B24"/>
    <mergeCell ref="C8:J8"/>
    <mergeCell ref="C9:F9"/>
    <mergeCell ref="C22:D22"/>
    <mergeCell ref="H20:J20"/>
    <mergeCell ref="H24:J24"/>
    <mergeCell ref="C24:D24"/>
  </mergeCells>
  <dataValidations count="3">
    <dataValidation type="list" allowBlank="1" showInputMessage="1" showErrorMessage="1" sqref="J4 J7">
      <formula1>YesNoNA</formula1>
    </dataValidation>
    <dataValidation type="list" allowBlank="1" showInputMessage="1" showErrorMessage="1" sqref="G10:G24">
      <formula1>ImpactLevel</formula1>
    </dataValidation>
    <dataValidation type="decimal" allowBlank="1" showInputMessage="1" showErrorMessage="1" errorTitle="Percentage" error="Enter a percentage as a decimal." sqref="J5:J6">
      <formula1>0</formula1>
      <formula2>1</formula2>
    </dataValidation>
  </dataValidations>
  <hyperlinks>
    <hyperlink ref="J2" location="'14'!A1" tooltip="Challenges and Outreach" display="Next Page"/>
    <hyperlink ref="E2" location="'Table of Contents'!A1" tooltip="Table of Contents" display="Table of Contents"/>
  </hyperlinks>
  <pageMargins left="0.25" right="0.25" top="0.75" bottom="0.75" header="0.3" footer="0.3"/>
  <pageSetup scale="68" orientation="landscape" cellComments="atEnd" verticalDpi="0" r:id="rId1"/>
  <headerFooter>
    <oddHeader>&amp;F</oddHeader>
    <oddFoote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80"/>
  <sheetViews>
    <sheetView showGridLines="0" showRowColHeaders="0" zoomScaleNormal="100" workbookViewId="0"/>
  </sheetViews>
  <sheetFormatPr defaultColWidth="3.85546875" defaultRowHeight="12.75"/>
  <cols>
    <col min="1" max="1" width="8.5703125" style="12" customWidth="1"/>
    <col min="2" max="2" width="3.85546875" style="12" customWidth="1"/>
    <col min="3" max="3" width="11.28515625" style="12" customWidth="1"/>
    <col min="4" max="4" width="39.28515625" style="12" customWidth="1"/>
    <col min="5" max="5" width="8.42578125" style="12" customWidth="1"/>
    <col min="6" max="6" width="8.5703125" style="12" customWidth="1"/>
    <col min="7" max="7" width="8.42578125" style="12" customWidth="1"/>
    <col min="8" max="8" width="46.28515625" style="12" customWidth="1"/>
    <col min="9" max="9" width="8.7109375" style="12" customWidth="1"/>
    <col min="10" max="255" width="8.85546875" style="12" customWidth="1"/>
    <col min="256" max="16384" width="3.85546875" style="12"/>
  </cols>
  <sheetData>
    <row r="1" spans="2:27" ht="13.5" customHeight="1" thickBot="1"/>
    <row r="2" spans="2:27" ht="13.5" customHeight="1" thickBot="1">
      <c r="B2" s="655" t="s">
        <v>487</v>
      </c>
      <c r="C2" s="656"/>
      <c r="D2" s="656"/>
      <c r="E2" s="657" t="s">
        <v>1204</v>
      </c>
      <c r="F2" s="657"/>
      <c r="G2" s="657"/>
      <c r="H2" s="112"/>
      <c r="I2" s="113" t="s">
        <v>486</v>
      </c>
    </row>
    <row r="3" spans="2:27" ht="13.5" customHeight="1" thickBot="1">
      <c r="B3" s="1872" t="s">
        <v>844</v>
      </c>
      <c r="C3" s="1873"/>
      <c r="D3" s="1873"/>
      <c r="E3" s="1873"/>
      <c r="F3" s="1873"/>
      <c r="G3" s="1873"/>
      <c r="H3" s="1873"/>
      <c r="I3" s="1874"/>
    </row>
    <row r="4" spans="2:27" s="16" customFormat="1" ht="57.75" customHeight="1">
      <c r="B4" s="1861" t="s">
        <v>5</v>
      </c>
      <c r="C4" s="1875" t="s">
        <v>1351</v>
      </c>
      <c r="D4" s="1876"/>
      <c r="E4" s="1876"/>
      <c r="F4" s="1876"/>
      <c r="G4" s="1876"/>
      <c r="H4" s="1876"/>
      <c r="I4" s="1877"/>
    </row>
    <row r="5" spans="2:27" s="16" customFormat="1" ht="12" customHeight="1">
      <c r="B5" s="1862"/>
      <c r="C5" s="1851" t="s">
        <v>449</v>
      </c>
      <c r="D5" s="1866"/>
      <c r="E5" s="1866"/>
      <c r="F5" s="342" t="s">
        <v>96</v>
      </c>
      <c r="G5" s="35" t="s">
        <v>111</v>
      </c>
      <c r="H5" s="1851" t="s">
        <v>112</v>
      </c>
      <c r="I5" s="1852"/>
    </row>
    <row r="6" spans="2:27" s="16" customFormat="1" ht="25.5" customHeight="1">
      <c r="B6" s="1862"/>
      <c r="C6" s="1867"/>
      <c r="D6" s="1868"/>
      <c r="E6" s="1868"/>
      <c r="F6" s="37" t="s">
        <v>877</v>
      </c>
      <c r="G6" s="343" t="s">
        <v>451</v>
      </c>
      <c r="H6" s="1853" t="s">
        <v>497</v>
      </c>
      <c r="I6" s="1854"/>
    </row>
    <row r="7" spans="2:27" s="16" customFormat="1">
      <c r="B7" s="1862"/>
      <c r="C7" s="1856" t="s">
        <v>110</v>
      </c>
      <c r="D7" s="1856"/>
      <c r="E7" s="1857"/>
      <c r="F7" s="564"/>
      <c r="G7" s="565"/>
      <c r="H7" s="1846"/>
      <c r="I7" s="1847"/>
      <c r="AA7" s="30"/>
    </row>
    <row r="8" spans="2:27" s="16" customFormat="1">
      <c r="B8" s="1862"/>
      <c r="C8" s="1856" t="s">
        <v>452</v>
      </c>
      <c r="D8" s="1856"/>
      <c r="E8" s="1857"/>
      <c r="F8" s="564"/>
      <c r="G8" s="565"/>
      <c r="H8" s="1846"/>
      <c r="I8" s="1847"/>
      <c r="AA8" s="30"/>
    </row>
    <row r="9" spans="2:27" s="16" customFormat="1">
      <c r="B9" s="1862"/>
      <c r="C9" s="1856" t="s">
        <v>966</v>
      </c>
      <c r="D9" s="1856"/>
      <c r="E9" s="1857"/>
      <c r="F9" s="564"/>
      <c r="G9" s="565"/>
      <c r="H9" s="1846"/>
      <c r="I9" s="1847"/>
      <c r="AA9" s="30"/>
    </row>
    <row r="10" spans="2:27" s="16" customFormat="1">
      <c r="B10" s="1862"/>
      <c r="C10" s="1856" t="s">
        <v>968</v>
      </c>
      <c r="D10" s="1856"/>
      <c r="E10" s="1857"/>
      <c r="F10" s="564"/>
      <c r="G10" s="565"/>
      <c r="H10" s="1846"/>
      <c r="I10" s="1847"/>
      <c r="AA10" s="30"/>
    </row>
    <row r="11" spans="2:27" s="16" customFormat="1">
      <c r="B11" s="1862"/>
      <c r="C11" s="1856" t="s">
        <v>453</v>
      </c>
      <c r="D11" s="1856"/>
      <c r="E11" s="1857"/>
      <c r="F11" s="564"/>
      <c r="G11" s="565"/>
      <c r="H11" s="1846"/>
      <c r="I11" s="1847"/>
      <c r="AA11" s="30"/>
    </row>
    <row r="12" spans="2:27" s="16" customFormat="1">
      <c r="B12" s="1862"/>
      <c r="C12" s="1856" t="s">
        <v>533</v>
      </c>
      <c r="D12" s="1856"/>
      <c r="E12" s="1857"/>
      <c r="F12" s="564"/>
      <c r="G12" s="565"/>
      <c r="H12" s="1846"/>
      <c r="I12" s="1847"/>
      <c r="AA12" s="30"/>
    </row>
    <row r="13" spans="2:27" s="16" customFormat="1">
      <c r="B13" s="1862"/>
      <c r="C13" s="1856" t="s">
        <v>965</v>
      </c>
      <c r="D13" s="1856"/>
      <c r="E13" s="1857"/>
      <c r="F13" s="564"/>
      <c r="G13" s="565"/>
      <c r="H13" s="1846"/>
      <c r="I13" s="1847"/>
      <c r="AA13" s="30"/>
    </row>
    <row r="14" spans="2:27" s="16" customFormat="1">
      <c r="B14" s="1862"/>
      <c r="C14" s="1856" t="s">
        <v>967</v>
      </c>
      <c r="D14" s="1856"/>
      <c r="E14" s="1857"/>
      <c r="F14" s="564"/>
      <c r="G14" s="565"/>
      <c r="H14" s="1846"/>
      <c r="I14" s="1847"/>
      <c r="AA14" s="30"/>
    </row>
    <row r="15" spans="2:27" s="16" customFormat="1">
      <c r="B15" s="1862"/>
      <c r="C15" s="1856" t="s">
        <v>534</v>
      </c>
      <c r="D15" s="1856"/>
      <c r="E15" s="1857"/>
      <c r="F15" s="564"/>
      <c r="G15" s="565"/>
      <c r="H15" s="1846"/>
      <c r="I15" s="1847"/>
      <c r="K15" s="62"/>
      <c r="AA15" s="30"/>
    </row>
    <row r="16" spans="2:27" s="16" customFormat="1">
      <c r="B16" s="1862"/>
      <c r="C16" s="1856" t="s">
        <v>535</v>
      </c>
      <c r="D16" s="1856"/>
      <c r="E16" s="1857"/>
      <c r="F16" s="564"/>
      <c r="G16" s="565"/>
      <c r="H16" s="1846"/>
      <c r="I16" s="1847"/>
      <c r="K16" s="62"/>
      <c r="AA16" s="30"/>
    </row>
    <row r="17" spans="2:27" s="16" customFormat="1">
      <c r="B17" s="1862"/>
      <c r="C17" s="1856" t="s">
        <v>536</v>
      </c>
      <c r="D17" s="1856"/>
      <c r="E17" s="1857"/>
      <c r="F17" s="564"/>
      <c r="G17" s="565"/>
      <c r="H17" s="1846"/>
      <c r="I17" s="1847"/>
      <c r="AA17" s="30"/>
    </row>
    <row r="18" spans="2:27" s="16" customFormat="1">
      <c r="B18" s="1862"/>
      <c r="C18" s="1856" t="s">
        <v>537</v>
      </c>
      <c r="D18" s="1856"/>
      <c r="E18" s="1857"/>
      <c r="F18" s="564"/>
      <c r="G18" s="565"/>
      <c r="H18" s="1846"/>
      <c r="I18" s="1847"/>
      <c r="AA18" s="30"/>
    </row>
    <row r="19" spans="2:27" s="16" customFormat="1">
      <c r="B19" s="1862"/>
      <c r="C19" s="1856" t="s">
        <v>964</v>
      </c>
      <c r="D19" s="1856"/>
      <c r="E19" s="1857"/>
      <c r="F19" s="564"/>
      <c r="G19" s="565"/>
      <c r="H19" s="1846"/>
      <c r="I19" s="1847"/>
      <c r="AA19" s="30"/>
    </row>
    <row r="20" spans="2:27" s="16" customFormat="1">
      <c r="B20" s="1862"/>
      <c r="C20" s="1856" t="s">
        <v>1187</v>
      </c>
      <c r="D20" s="1856"/>
      <c r="E20" s="1857"/>
      <c r="F20" s="564"/>
      <c r="G20" s="565"/>
      <c r="H20" s="1846"/>
      <c r="I20" s="1847"/>
      <c r="AA20" s="30"/>
    </row>
    <row r="21" spans="2:27" s="16" customFormat="1">
      <c r="B21" s="1862"/>
      <c r="C21" s="1856" t="s">
        <v>538</v>
      </c>
      <c r="D21" s="1856"/>
      <c r="E21" s="1857"/>
      <c r="F21" s="564"/>
      <c r="G21" s="565"/>
      <c r="H21" s="1846"/>
      <c r="I21" s="1847"/>
      <c r="AA21" s="30"/>
    </row>
    <row r="22" spans="2:27" s="16" customFormat="1">
      <c r="B22" s="1862"/>
      <c r="C22" s="1858" t="s">
        <v>539</v>
      </c>
      <c r="D22" s="1859"/>
      <c r="E22" s="1860"/>
      <c r="F22" s="564"/>
      <c r="G22" s="565"/>
      <c r="H22" s="1846"/>
      <c r="I22" s="1847"/>
      <c r="AA22" s="30"/>
    </row>
    <row r="23" spans="2:27" s="16" customFormat="1">
      <c r="B23" s="1862"/>
      <c r="C23" s="1856" t="s">
        <v>969</v>
      </c>
      <c r="D23" s="1856"/>
      <c r="E23" s="1857"/>
      <c r="F23" s="564"/>
      <c r="G23" s="565"/>
      <c r="H23" s="1846"/>
      <c r="I23" s="1847"/>
      <c r="AA23" s="30"/>
    </row>
    <row r="24" spans="2:27" s="16" customFormat="1">
      <c r="B24" s="1862"/>
      <c r="C24" s="1856" t="s">
        <v>540</v>
      </c>
      <c r="D24" s="1856"/>
      <c r="E24" s="1857"/>
      <c r="F24" s="564"/>
      <c r="G24" s="565"/>
      <c r="H24" s="1846"/>
      <c r="I24" s="1847"/>
      <c r="AA24" s="30"/>
    </row>
    <row r="25" spans="2:27" s="16" customFormat="1">
      <c r="B25" s="1862"/>
      <c r="C25" s="1856" t="s">
        <v>541</v>
      </c>
      <c r="D25" s="1856"/>
      <c r="E25" s="1857"/>
      <c r="F25" s="564"/>
      <c r="G25" s="565"/>
      <c r="H25" s="1846"/>
      <c r="I25" s="1847"/>
      <c r="AA25" s="30"/>
    </row>
    <row r="26" spans="2:27" s="16" customFormat="1">
      <c r="B26" s="1862"/>
      <c r="C26" s="1856" t="s">
        <v>542</v>
      </c>
      <c r="D26" s="1856"/>
      <c r="E26" s="1857"/>
      <c r="F26" s="564"/>
      <c r="G26" s="565"/>
      <c r="H26" s="1846"/>
      <c r="I26" s="1847"/>
      <c r="AA26" s="30"/>
    </row>
    <row r="27" spans="2:27" s="16" customFormat="1">
      <c r="B27" s="1862"/>
      <c r="C27" s="1856" t="s">
        <v>543</v>
      </c>
      <c r="D27" s="1856"/>
      <c r="E27" s="1857"/>
      <c r="F27" s="564"/>
      <c r="G27" s="565"/>
      <c r="H27" s="1846"/>
      <c r="I27" s="1847"/>
      <c r="AA27" s="30"/>
    </row>
    <row r="28" spans="2:27" s="16" customFormat="1">
      <c r="B28" s="1862"/>
      <c r="C28" s="1856" t="s">
        <v>544</v>
      </c>
      <c r="D28" s="1856"/>
      <c r="E28" s="1857"/>
      <c r="F28" s="564"/>
      <c r="G28" s="565"/>
      <c r="H28" s="1846"/>
      <c r="I28" s="1847"/>
      <c r="AA28" s="30"/>
    </row>
    <row r="29" spans="2:27" s="16" customFormat="1">
      <c r="B29" s="1862"/>
      <c r="C29" s="1856" t="s">
        <v>970</v>
      </c>
      <c r="D29" s="1856"/>
      <c r="E29" s="1857"/>
      <c r="F29" s="564"/>
      <c r="G29" s="565"/>
      <c r="H29" s="1846"/>
      <c r="I29" s="1847"/>
      <c r="AA29" s="30"/>
    </row>
    <row r="30" spans="2:27" s="16" customFormat="1">
      <c r="B30" s="1862"/>
      <c r="C30" s="1856" t="s">
        <v>545</v>
      </c>
      <c r="D30" s="1856"/>
      <c r="E30" s="1857"/>
      <c r="F30" s="564"/>
      <c r="G30" s="565"/>
      <c r="H30" s="1846"/>
      <c r="I30" s="1847"/>
      <c r="AA30" s="30"/>
    </row>
    <row r="31" spans="2:27" s="16" customFormat="1">
      <c r="B31" s="1862"/>
      <c r="C31" s="1856" t="s">
        <v>839</v>
      </c>
      <c r="D31" s="1856"/>
      <c r="E31" s="1857"/>
      <c r="F31" s="564"/>
      <c r="G31" s="565"/>
      <c r="H31" s="1846"/>
      <c r="I31" s="1847"/>
      <c r="AA31" s="30"/>
    </row>
    <row r="32" spans="2:27" s="16" customFormat="1">
      <c r="B32" s="1862"/>
      <c r="C32" s="1856" t="s">
        <v>546</v>
      </c>
      <c r="D32" s="1856"/>
      <c r="E32" s="1857"/>
      <c r="F32" s="564"/>
      <c r="G32" s="565"/>
      <c r="H32" s="1846"/>
      <c r="I32" s="1847"/>
      <c r="AA32" s="30"/>
    </row>
    <row r="33" spans="2:27" s="16" customFormat="1">
      <c r="B33" s="1862"/>
      <c r="C33" s="1856" t="s">
        <v>60</v>
      </c>
      <c r="D33" s="1856"/>
      <c r="E33" s="1857"/>
      <c r="F33" s="564"/>
      <c r="G33" s="565"/>
      <c r="H33" s="1846"/>
      <c r="I33" s="1847"/>
      <c r="AA33" s="30"/>
    </row>
    <row r="34" spans="2:27" s="16" customFormat="1">
      <c r="B34" s="1862"/>
      <c r="C34" s="1856" t="s">
        <v>547</v>
      </c>
      <c r="D34" s="1870"/>
      <c r="E34" s="1871"/>
      <c r="F34" s="564"/>
      <c r="G34" s="565"/>
      <c r="H34" s="1846"/>
      <c r="I34" s="1847"/>
      <c r="AA34" s="30"/>
    </row>
    <row r="35" spans="2:27" s="16" customFormat="1" ht="12.75" customHeight="1" thickBot="1">
      <c r="B35" s="1863"/>
      <c r="C35" s="36" t="s">
        <v>107</v>
      </c>
      <c r="D35" s="1864" t="s">
        <v>405</v>
      </c>
      <c r="E35" s="1865"/>
      <c r="F35" s="566"/>
      <c r="G35" s="567"/>
      <c r="H35" s="1848"/>
      <c r="I35" s="1849"/>
      <c r="AA35" s="30"/>
    </row>
    <row r="36" spans="2:27" s="62" customFormat="1" ht="42" customHeight="1">
      <c r="B36" s="1862" t="s">
        <v>6</v>
      </c>
      <c r="C36" s="1878" t="s">
        <v>61</v>
      </c>
      <c r="D36" s="1879"/>
      <c r="E36" s="1879"/>
      <c r="F36" s="1879"/>
      <c r="G36" s="1879"/>
      <c r="H36" s="1879"/>
      <c r="I36" s="1880"/>
      <c r="J36" s="63"/>
      <c r="AA36" s="30"/>
    </row>
    <row r="37" spans="2:27" s="62" customFormat="1" ht="27" customHeight="1">
      <c r="B37" s="1862"/>
      <c r="C37" s="1635" t="s">
        <v>147</v>
      </c>
      <c r="D37" s="1633"/>
      <c r="E37" s="568"/>
      <c r="F37" s="1869" t="s">
        <v>140</v>
      </c>
      <c r="G37" s="1632"/>
      <c r="H37" s="1633"/>
      <c r="I37" s="571"/>
      <c r="AA37" s="30"/>
    </row>
    <row r="38" spans="2:27" s="62" customFormat="1" ht="27" customHeight="1">
      <c r="B38" s="1862"/>
      <c r="C38" s="1635" t="s">
        <v>447</v>
      </c>
      <c r="D38" s="1633"/>
      <c r="E38" s="568"/>
      <c r="F38" s="1869" t="s">
        <v>141</v>
      </c>
      <c r="G38" s="1632"/>
      <c r="H38" s="1633"/>
      <c r="I38" s="571"/>
      <c r="AA38" s="30"/>
    </row>
    <row r="39" spans="2:27" s="62" customFormat="1" ht="27" customHeight="1">
      <c r="B39" s="1862"/>
      <c r="C39" s="1635" t="s">
        <v>134</v>
      </c>
      <c r="D39" s="1633"/>
      <c r="E39" s="568"/>
      <c r="F39" s="1869" t="s">
        <v>142</v>
      </c>
      <c r="G39" s="1632"/>
      <c r="H39" s="1633"/>
      <c r="I39" s="571"/>
      <c r="AA39" s="30"/>
    </row>
    <row r="40" spans="2:27" s="62" customFormat="1" ht="27" customHeight="1">
      <c r="B40" s="1862"/>
      <c r="C40" s="1635" t="s">
        <v>135</v>
      </c>
      <c r="D40" s="1633"/>
      <c r="E40" s="568"/>
      <c r="F40" s="1869" t="s">
        <v>143</v>
      </c>
      <c r="G40" s="1632"/>
      <c r="H40" s="1633"/>
      <c r="I40" s="571"/>
      <c r="AA40" s="30"/>
    </row>
    <row r="41" spans="2:27" s="62" customFormat="1" ht="27" customHeight="1">
      <c r="B41" s="1862"/>
      <c r="C41" s="1635" t="s">
        <v>136</v>
      </c>
      <c r="D41" s="1633"/>
      <c r="E41" s="568"/>
      <c r="F41" s="1869" t="s">
        <v>62</v>
      </c>
      <c r="G41" s="1632"/>
      <c r="H41" s="1633"/>
      <c r="I41" s="571"/>
      <c r="AA41" s="30"/>
    </row>
    <row r="42" spans="2:27" s="62" customFormat="1" ht="27" customHeight="1">
      <c r="B42" s="1862"/>
      <c r="C42" s="1635" t="s">
        <v>137</v>
      </c>
      <c r="D42" s="1633"/>
      <c r="E42" s="568"/>
      <c r="F42" s="1855" t="s">
        <v>144</v>
      </c>
      <c r="G42" s="1654"/>
      <c r="H42" s="1732"/>
      <c r="I42" s="571"/>
      <c r="AA42" s="30"/>
    </row>
    <row r="43" spans="2:27" s="62" customFormat="1" ht="27" customHeight="1">
      <c r="B43" s="1862"/>
      <c r="C43" s="1635" t="s">
        <v>138</v>
      </c>
      <c r="D43" s="1633"/>
      <c r="E43" s="569"/>
      <c r="F43" s="1869" t="s">
        <v>145</v>
      </c>
      <c r="G43" s="1632"/>
      <c r="H43" s="1633"/>
      <c r="I43" s="572"/>
      <c r="AA43" s="30"/>
    </row>
    <row r="44" spans="2:27" s="62" customFormat="1" ht="27" customHeight="1">
      <c r="B44" s="1862"/>
      <c r="C44" s="1635" t="s">
        <v>139</v>
      </c>
      <c r="D44" s="1732"/>
      <c r="E44" s="569"/>
      <c r="F44" s="1869" t="s">
        <v>146</v>
      </c>
      <c r="G44" s="1654"/>
      <c r="H44" s="1732"/>
      <c r="I44" s="572"/>
      <c r="AA44" s="30"/>
    </row>
    <row r="45" spans="2:27" s="62" customFormat="1" ht="27" customHeight="1" thickBot="1">
      <c r="B45" s="259"/>
      <c r="C45" s="246" t="s">
        <v>107</v>
      </c>
      <c r="D45" s="551" t="s">
        <v>405</v>
      </c>
      <c r="E45" s="570"/>
      <c r="F45" s="247" t="s">
        <v>107</v>
      </c>
      <c r="G45" s="1066" t="s">
        <v>405</v>
      </c>
      <c r="H45" s="1850"/>
      <c r="I45" s="573"/>
      <c r="AA45" s="30"/>
    </row>
    <row r="46" spans="2:27" ht="27" customHeight="1">
      <c r="B46" s="794" t="s">
        <v>48</v>
      </c>
      <c r="C46" s="795"/>
      <c r="D46" s="1312"/>
      <c r="E46" s="1313"/>
      <c r="F46" s="1313"/>
      <c r="G46" s="1313"/>
      <c r="H46" s="1313"/>
      <c r="I46" s="1314"/>
      <c r="AA46" s="30"/>
    </row>
    <row r="47" spans="2:27">
      <c r="B47" s="17"/>
      <c r="C47" s="18"/>
      <c r="D47" s="18"/>
      <c r="E47" s="18"/>
      <c r="F47" s="18"/>
      <c r="G47" s="19"/>
      <c r="H47" s="19"/>
      <c r="I47" s="20"/>
      <c r="AA47" s="30"/>
    </row>
    <row r="48" spans="2:27" ht="15.75" customHeight="1" thickBot="1">
      <c r="B48" s="1881" t="s">
        <v>4</v>
      </c>
      <c r="C48" s="1882"/>
      <c r="D48" s="1882"/>
      <c r="E48" s="1882"/>
      <c r="F48" s="1882"/>
      <c r="G48" s="1882"/>
      <c r="H48" s="1882"/>
      <c r="I48" s="1883"/>
      <c r="AA48" s="30"/>
    </row>
    <row r="49" spans="27:27">
      <c r="AA49" s="30"/>
    </row>
    <row r="50" spans="27:27">
      <c r="AA50" s="30"/>
    </row>
    <row r="51" spans="27:27">
      <c r="AA51" s="30"/>
    </row>
    <row r="52" spans="27:27">
      <c r="AA52" s="16"/>
    </row>
    <row r="53" spans="27:27">
      <c r="AA53" s="16"/>
    </row>
    <row r="54" spans="27:27">
      <c r="AA54" s="16"/>
    </row>
    <row r="55" spans="27:27">
      <c r="AA55" s="16"/>
    </row>
    <row r="56" spans="27:27">
      <c r="AA56" s="16"/>
    </row>
    <row r="57" spans="27:27">
      <c r="AA57" s="16"/>
    </row>
    <row r="58" spans="27:27">
      <c r="AA58" s="16"/>
    </row>
    <row r="59" spans="27:27">
      <c r="AA59" s="16"/>
    </row>
    <row r="60" spans="27:27">
      <c r="AA60" s="16"/>
    </row>
    <row r="61" spans="27:27">
      <c r="AA61" s="16"/>
    </row>
    <row r="62" spans="27:27">
      <c r="AA62" s="16"/>
    </row>
    <row r="63" spans="27:27">
      <c r="AA63" s="16"/>
    </row>
    <row r="64" spans="27:27">
      <c r="AA64" s="16"/>
    </row>
    <row r="65" spans="27:27">
      <c r="AA65" s="16"/>
    </row>
    <row r="66" spans="27:27">
      <c r="AA66" s="16"/>
    </row>
    <row r="67" spans="27:27">
      <c r="AA67" s="16"/>
    </row>
    <row r="68" spans="27:27">
      <c r="AA68" s="16"/>
    </row>
    <row r="69" spans="27:27">
      <c r="AA69" s="16"/>
    </row>
    <row r="70" spans="27:27">
      <c r="AA70" s="16"/>
    </row>
    <row r="71" spans="27:27">
      <c r="AA71" s="16"/>
    </row>
    <row r="72" spans="27:27">
      <c r="AA72" s="16"/>
    </row>
    <row r="73" spans="27:27">
      <c r="AA73" s="16"/>
    </row>
    <row r="74" spans="27:27">
      <c r="AA74" s="16"/>
    </row>
    <row r="75" spans="27:27">
      <c r="AA75" s="16"/>
    </row>
    <row r="76" spans="27:27">
      <c r="AA76" s="16"/>
    </row>
    <row r="77" spans="27:27">
      <c r="AA77" s="16"/>
    </row>
    <row r="78" spans="27:27">
      <c r="AA78" s="16"/>
    </row>
    <row r="79" spans="27:27">
      <c r="AA79" s="16"/>
    </row>
    <row r="80" spans="27:27">
      <c r="AA80" s="16"/>
    </row>
  </sheetData>
  <sheetProtection password="C288" sheet="1"/>
  <mergeCells count="88">
    <mergeCell ref="B48:I48"/>
    <mergeCell ref="B46:C46"/>
    <mergeCell ref="B36:B44"/>
    <mergeCell ref="E2:G2"/>
    <mergeCell ref="F43:H43"/>
    <mergeCell ref="F44:H44"/>
    <mergeCell ref="C38:D38"/>
    <mergeCell ref="F38:H38"/>
    <mergeCell ref="F41:H41"/>
    <mergeCell ref="C44:D44"/>
    <mergeCell ref="C12:E12"/>
    <mergeCell ref="C14:E14"/>
    <mergeCell ref="C19:E19"/>
    <mergeCell ref="C23:E23"/>
    <mergeCell ref="C36:I36"/>
    <mergeCell ref="C37:D37"/>
    <mergeCell ref="F37:H37"/>
    <mergeCell ref="C20:E20"/>
    <mergeCell ref="H22:I22"/>
    <mergeCell ref="H23:I23"/>
    <mergeCell ref="B2:D2"/>
    <mergeCell ref="B3:I3"/>
    <mergeCell ref="C4:I4"/>
    <mergeCell ref="C11:E11"/>
    <mergeCell ref="C29:E29"/>
    <mergeCell ref="C27:E27"/>
    <mergeCell ref="H15:I15"/>
    <mergeCell ref="H16:I16"/>
    <mergeCell ref="H20:I20"/>
    <mergeCell ref="H21:I21"/>
    <mergeCell ref="C25:E25"/>
    <mergeCell ref="C26:E26"/>
    <mergeCell ref="C28:E28"/>
    <mergeCell ref="C39:D39"/>
    <mergeCell ref="C41:D41"/>
    <mergeCell ref="C34:E34"/>
    <mergeCell ref="C33:E33"/>
    <mergeCell ref="C40:D40"/>
    <mergeCell ref="F40:H40"/>
    <mergeCell ref="C10:E10"/>
    <mergeCell ref="C17:E17"/>
    <mergeCell ref="C18:E18"/>
    <mergeCell ref="F39:H39"/>
    <mergeCell ref="H13:I13"/>
    <mergeCell ref="H14:I14"/>
    <mergeCell ref="H11:I11"/>
    <mergeCell ref="H12:I12"/>
    <mergeCell ref="H19:I19"/>
    <mergeCell ref="C43:D43"/>
    <mergeCell ref="B4:B35"/>
    <mergeCell ref="D35:E35"/>
    <mergeCell ref="C5:E6"/>
    <mergeCell ref="C30:E30"/>
    <mergeCell ref="C32:E32"/>
    <mergeCell ref="C8:E8"/>
    <mergeCell ref="C31:E31"/>
    <mergeCell ref="C42:D42"/>
    <mergeCell ref="C24:E24"/>
    <mergeCell ref="F42:H42"/>
    <mergeCell ref="C21:E21"/>
    <mergeCell ref="C7:E7"/>
    <mergeCell ref="C9:E9"/>
    <mergeCell ref="C15:E15"/>
    <mergeCell ref="C16:E16"/>
    <mergeCell ref="C22:E22"/>
    <mergeCell ref="C13:E13"/>
    <mergeCell ref="H24:I24"/>
    <mergeCell ref="H25:I25"/>
    <mergeCell ref="G45:H45"/>
    <mergeCell ref="D46:I46"/>
    <mergeCell ref="H5:I5"/>
    <mergeCell ref="H6:I6"/>
    <mergeCell ref="H7:I7"/>
    <mergeCell ref="H8:I8"/>
    <mergeCell ref="H9:I9"/>
    <mergeCell ref="H10:I10"/>
    <mergeCell ref="H17:I17"/>
    <mergeCell ref="H18:I18"/>
    <mergeCell ref="H26:I26"/>
    <mergeCell ref="H27:I27"/>
    <mergeCell ref="H34:I34"/>
    <mergeCell ref="H35:I35"/>
    <mergeCell ref="H28:I28"/>
    <mergeCell ref="H29:I29"/>
    <mergeCell ref="H30:I30"/>
    <mergeCell ref="H31:I31"/>
    <mergeCell ref="H32:I32"/>
    <mergeCell ref="H33:I33"/>
  </mergeCells>
  <dataValidations count="3">
    <dataValidation type="list" allowBlank="1" showInputMessage="1" showErrorMessage="1" sqref="E37:E45 I37:I45">
      <formula1>YesNo</formula1>
    </dataValidation>
    <dataValidation type="custom" allowBlank="1" showInputMessage="1" showErrorMessage="1" sqref="G7:G35">
      <formula1>AND(COUNTIF($G$7:$G$35, G7)&lt;=1, G7&gt;0, G7&lt;=5)</formula1>
    </dataValidation>
    <dataValidation type="list" allowBlank="1" showInputMessage="1" showErrorMessage="1" sqref="F7:F35">
      <formula1>CurrFut</formula1>
    </dataValidation>
  </dataValidations>
  <hyperlinks>
    <hyperlink ref="B2:D2" location="'13b'!A1" tooltip="Cyber Security (continued)" display="Previous Page"/>
    <hyperlink ref="E2:G2" location="'Table of Contents'!A1" tooltip="Table of Contents" display="Table of Contents"/>
    <hyperlink ref="I2" location="'15'!A1" tooltip="Certification" display="Next Page"/>
  </hyperlinks>
  <pageMargins left="0.25" right="0.25" top="0.75" bottom="0.75" header="0.3" footer="0.3"/>
  <pageSetup scale="62" orientation="landscape" cellComments="atEnd" r:id="rId1"/>
  <headerFooter>
    <oddHeader>&amp;F</oddHeader>
    <oddFooter>Page &amp;P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9"/>
  <sheetViews>
    <sheetView showGridLines="0" showRowColHeaders="0" zoomScaleNormal="100" workbookViewId="0"/>
  </sheetViews>
  <sheetFormatPr defaultColWidth="9" defaultRowHeight="12.75"/>
  <cols>
    <col min="1" max="1" width="8.5703125" style="12" customWidth="1"/>
    <col min="2" max="2" width="45.42578125" style="12" customWidth="1"/>
    <col min="3" max="3" width="35.28515625" style="12" customWidth="1"/>
    <col min="4" max="4" width="40.42578125" style="12" customWidth="1"/>
    <col min="5" max="26" width="9.140625" style="12" customWidth="1"/>
    <col min="27" max="27" width="26.140625" style="12" bestFit="1" customWidth="1"/>
    <col min="28" max="252" width="9.140625" style="12" customWidth="1"/>
    <col min="253" max="253" width="3.7109375" style="12" customWidth="1"/>
    <col min="254" max="254" width="18.42578125" style="12" customWidth="1"/>
    <col min="255" max="255" width="10.42578125" style="12" customWidth="1"/>
    <col min="256" max="16384" width="9" style="12"/>
  </cols>
  <sheetData>
    <row r="1" spans="2:29" ht="13.5" customHeight="1" thickBot="1">
      <c r="AA1" s="585" t="s">
        <v>1405</v>
      </c>
      <c r="AB1" s="586"/>
      <c r="AC1" s="120"/>
    </row>
    <row r="2" spans="2:29" ht="13.5" customHeight="1" thickBot="1">
      <c r="B2" s="27" t="s">
        <v>487</v>
      </c>
      <c r="C2" s="108" t="s">
        <v>1204</v>
      </c>
      <c r="D2" s="28"/>
      <c r="AA2" s="12" t="s">
        <v>499</v>
      </c>
    </row>
    <row r="3" spans="2:29" ht="13.5" customHeight="1" thickBot="1">
      <c r="B3" s="1884" t="s">
        <v>843</v>
      </c>
      <c r="C3" s="1885"/>
      <c r="D3" s="1886"/>
      <c r="AA3" s="12" t="s">
        <v>499</v>
      </c>
    </row>
    <row r="4" spans="2:29" ht="78" customHeight="1">
      <c r="B4" s="1887" t="s">
        <v>1352</v>
      </c>
      <c r="C4" s="1370"/>
      <c r="D4" s="1371"/>
      <c r="AA4" s="1893" t="s">
        <v>500</v>
      </c>
      <c r="AB4" s="1893"/>
    </row>
    <row r="5" spans="2:29" ht="15" customHeight="1">
      <c r="B5" s="1890"/>
      <c r="C5" s="1891"/>
      <c r="D5" s="1892"/>
      <c r="AA5" s="344"/>
      <c r="AB5" s="344"/>
    </row>
    <row r="6" spans="2:29" ht="6" customHeight="1">
      <c r="B6" s="345"/>
      <c r="C6" s="346"/>
      <c r="D6" s="347"/>
      <c r="AA6" s="344"/>
      <c r="AB6" s="344"/>
    </row>
    <row r="7" spans="2:29" ht="12.75" customHeight="1">
      <c r="B7" s="100" t="s">
        <v>902</v>
      </c>
      <c r="C7" s="1888"/>
      <c r="D7" s="1889"/>
      <c r="AA7" s="344"/>
      <c r="AB7" s="344"/>
    </row>
    <row r="8" spans="2:29" ht="12.75" customHeight="1">
      <c r="B8" s="100" t="s">
        <v>35</v>
      </c>
      <c r="C8" s="1888"/>
      <c r="D8" s="1889"/>
      <c r="AA8" s="12" t="s">
        <v>501</v>
      </c>
    </row>
    <row r="9" spans="2:29" ht="12.75" customHeight="1">
      <c r="B9" s="101" t="s">
        <v>114</v>
      </c>
      <c r="C9" s="1888"/>
      <c r="D9" s="1889"/>
      <c r="AA9" s="12" t="s">
        <v>502</v>
      </c>
    </row>
    <row r="10" spans="2:29" ht="12.75" customHeight="1">
      <c r="B10" s="102" t="s">
        <v>115</v>
      </c>
      <c r="C10" s="1888"/>
      <c r="D10" s="1889"/>
      <c r="AA10" s="12" t="s">
        <v>503</v>
      </c>
    </row>
    <row r="11" spans="2:29" ht="12.75" customHeight="1">
      <c r="B11" s="102" t="s">
        <v>116</v>
      </c>
      <c r="C11" s="1888"/>
      <c r="D11" s="1889"/>
      <c r="AA11" s="12" t="s">
        <v>504</v>
      </c>
    </row>
    <row r="12" spans="2:29" ht="12.75" customHeight="1">
      <c r="B12" s="102" t="s">
        <v>47</v>
      </c>
      <c r="C12" s="1897"/>
      <c r="D12" s="1898"/>
      <c r="AA12" s="12" t="s">
        <v>505</v>
      </c>
    </row>
    <row r="13" spans="2:29" ht="12.75" customHeight="1">
      <c r="B13" s="102" t="s">
        <v>117</v>
      </c>
      <c r="C13" s="1899"/>
      <c r="D13" s="1900"/>
      <c r="AA13" s="12" t="s">
        <v>506</v>
      </c>
    </row>
    <row r="14" spans="2:29" ht="12.75" customHeight="1">
      <c r="B14" s="100" t="s">
        <v>118</v>
      </c>
      <c r="C14" s="1901"/>
      <c r="D14" s="1902"/>
      <c r="AA14" s="12" t="s">
        <v>507</v>
      </c>
    </row>
    <row r="15" spans="2:29" ht="12.75" customHeight="1">
      <c r="B15" s="1903" t="s">
        <v>119</v>
      </c>
      <c r="C15" s="1904"/>
      <c r="D15" s="1905"/>
      <c r="AA15" s="12" t="s">
        <v>548</v>
      </c>
    </row>
    <row r="16" spans="2:29" ht="99.75" customHeight="1" thickBot="1">
      <c r="B16" s="1906"/>
      <c r="C16" s="1907"/>
      <c r="D16" s="1908"/>
      <c r="AA16" s="1893" t="s">
        <v>499</v>
      </c>
      <c r="AB16" s="1893"/>
    </row>
    <row r="17" spans="2:28" ht="16.5" customHeight="1" thickBot="1">
      <c r="B17" s="103" t="s">
        <v>120</v>
      </c>
      <c r="C17" s="1909"/>
      <c r="D17" s="1910"/>
      <c r="AA17" s="1893"/>
      <c r="AB17" s="1893"/>
    </row>
    <row r="18" spans="2:28" ht="12.75" customHeight="1">
      <c r="B18" s="1894"/>
      <c r="C18" s="1895"/>
      <c r="D18" s="1896"/>
      <c r="AA18" s="12" t="s">
        <v>549</v>
      </c>
      <c r="AB18" s="626"/>
    </row>
    <row r="19" spans="2:28" ht="12.75" customHeight="1" thickBot="1">
      <c r="B19" s="778" t="s">
        <v>4</v>
      </c>
      <c r="C19" s="779"/>
      <c r="D19" s="780"/>
    </row>
  </sheetData>
  <sheetProtection password="C288" sheet="1"/>
  <mergeCells count="18">
    <mergeCell ref="AA4:AB4"/>
    <mergeCell ref="AA16:AB17"/>
    <mergeCell ref="B18:D18"/>
    <mergeCell ref="B19:D19"/>
    <mergeCell ref="C12:D12"/>
    <mergeCell ref="C13:D13"/>
    <mergeCell ref="C14:D14"/>
    <mergeCell ref="B15:D15"/>
    <mergeCell ref="B16:D16"/>
    <mergeCell ref="C17:D17"/>
    <mergeCell ref="B3:D3"/>
    <mergeCell ref="B4:D4"/>
    <mergeCell ref="C8:D8"/>
    <mergeCell ref="C9:D9"/>
    <mergeCell ref="C10:D10"/>
    <mergeCell ref="C11:D11"/>
    <mergeCell ref="C7:D7"/>
    <mergeCell ref="B5:D5"/>
  </mergeCells>
  <dataValidations disablePrompts="1" count="2">
    <dataValidation type="decimal" operator="greaterThanOrEqual" allowBlank="1" showInputMessage="1" showErrorMessage="1" sqref="C17:D17">
      <formula1>0</formula1>
    </dataValidation>
    <dataValidation operator="greaterThanOrEqual" allowBlank="1" showInputMessage="1" showErrorMessage="1" sqref="C7:D14"/>
  </dataValidations>
  <hyperlinks>
    <hyperlink ref="B2" location="'14'!A1" tooltip="Challenges &amp; Outreach" display="Previous Page"/>
    <hyperlink ref="C2" location="'Table of Contents'!A1" tooltip="Table of Contents" display="Table of Contents"/>
  </hyperlinks>
  <pageMargins left="0.25" right="0.25" top="0.75" bottom="0.75" header="0.3" footer="0.3"/>
  <pageSetup orientation="landscape" cellComments="atEnd" r:id="rId1"/>
  <headerFooter>
    <oddHeader>&amp;F</oddHeader>
    <oddFooter>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2"/>
  <sheetViews>
    <sheetView topLeftCell="AT1" workbookViewId="0">
      <selection activeCell="A2" sqref="A2:P2"/>
    </sheetView>
  </sheetViews>
  <sheetFormatPr defaultRowHeight="15"/>
  <cols>
    <col min="1" max="1" width="8.5703125" customWidth="1"/>
  </cols>
  <sheetData>
    <row r="1" spans="1:57" s="29" customFormat="1" ht="13.5" customHeight="1">
      <c r="A1" s="29" t="s">
        <v>150</v>
      </c>
      <c r="B1" s="29" t="s">
        <v>151</v>
      </c>
      <c r="C1" s="29" t="s">
        <v>395</v>
      </c>
      <c r="D1" s="29" t="s">
        <v>397</v>
      </c>
      <c r="E1" s="29" t="s">
        <v>963</v>
      </c>
      <c r="F1" s="29" t="s">
        <v>399</v>
      </c>
      <c r="G1" s="29" t="s">
        <v>975</v>
      </c>
      <c r="H1" s="29" t="s">
        <v>976</v>
      </c>
      <c r="I1" s="29" t="s">
        <v>38</v>
      </c>
      <c r="J1" s="29" t="s">
        <v>42</v>
      </c>
      <c r="K1" s="29" t="s">
        <v>402</v>
      </c>
      <c r="L1" s="29" t="s">
        <v>409</v>
      </c>
      <c r="M1" s="29" t="s">
        <v>416</v>
      </c>
      <c r="N1" s="29" t="s">
        <v>462</v>
      </c>
      <c r="O1" s="29" t="s">
        <v>106</v>
      </c>
      <c r="P1" s="29" t="s">
        <v>420</v>
      </c>
      <c r="Q1" s="29" t="s">
        <v>621</v>
      </c>
      <c r="R1" s="29" t="s">
        <v>622</v>
      </c>
      <c r="S1" s="29" t="s">
        <v>978</v>
      </c>
      <c r="T1" s="29" t="s">
        <v>979</v>
      </c>
      <c r="U1" s="29" t="s">
        <v>713</v>
      </c>
      <c r="V1" s="29" t="s">
        <v>716</v>
      </c>
      <c r="W1" s="29" t="s">
        <v>748</v>
      </c>
      <c r="X1" s="29" t="s">
        <v>421</v>
      </c>
      <c r="Y1" s="29" t="s">
        <v>427</v>
      </c>
      <c r="Z1" s="29" t="s">
        <v>428</v>
      </c>
      <c r="AA1" s="29" t="s">
        <v>430</v>
      </c>
      <c r="AB1" s="29" t="s">
        <v>429</v>
      </c>
      <c r="AC1" s="29" t="s">
        <v>431</v>
      </c>
      <c r="AD1" s="29" t="s">
        <v>433</v>
      </c>
      <c r="AE1" s="29" t="s">
        <v>438</v>
      </c>
      <c r="AF1" s="29" t="s">
        <v>439</v>
      </c>
      <c r="AG1" s="29" t="s">
        <v>460</v>
      </c>
      <c r="AH1" s="29" t="s">
        <v>484</v>
      </c>
      <c r="AI1" s="29" t="s">
        <v>495</v>
      </c>
      <c r="AJ1" s="29" t="s">
        <v>513</v>
      </c>
      <c r="AK1" s="29" t="s">
        <v>1003</v>
      </c>
      <c r="AL1" s="29" t="s">
        <v>1006</v>
      </c>
      <c r="AM1" s="29" t="s">
        <v>1007</v>
      </c>
      <c r="AN1" s="29" t="s">
        <v>1008</v>
      </c>
      <c r="AO1" s="29" t="s">
        <v>1015</v>
      </c>
      <c r="AP1" s="29" t="s">
        <v>1016</v>
      </c>
      <c r="AQ1" s="29" t="s">
        <v>1026</v>
      </c>
      <c r="AR1" s="29" t="s">
        <v>1027</v>
      </c>
      <c r="AS1" s="29" t="s">
        <v>1031</v>
      </c>
      <c r="AT1" s="29" t="s">
        <v>1036</v>
      </c>
      <c r="AU1" s="29" t="s">
        <v>1037</v>
      </c>
      <c r="AV1" s="29" t="s">
        <v>1044</v>
      </c>
      <c r="AW1" s="29" t="s">
        <v>1045</v>
      </c>
      <c r="AX1" s="29" t="s">
        <v>1053</v>
      </c>
      <c r="AY1" s="29" t="s">
        <v>1057</v>
      </c>
      <c r="AZ1" s="29" t="s">
        <v>1066</v>
      </c>
      <c r="BA1" s="29" t="s">
        <v>1068</v>
      </c>
      <c r="BB1" s="29" t="s">
        <v>1071</v>
      </c>
      <c r="BC1" s="29" t="s">
        <v>1088</v>
      </c>
      <c r="BD1" s="29" t="s">
        <v>1261</v>
      </c>
      <c r="BE1" s="29" t="s">
        <v>1270</v>
      </c>
    </row>
    <row r="2" spans="1:57" ht="13.5" customHeight="1">
      <c r="B2" t="s">
        <v>148</v>
      </c>
      <c r="C2" t="s">
        <v>148</v>
      </c>
      <c r="D2" t="s">
        <v>148</v>
      </c>
      <c r="E2" t="s">
        <v>961</v>
      </c>
      <c r="F2" t="s">
        <v>400</v>
      </c>
      <c r="G2" t="s">
        <v>971</v>
      </c>
      <c r="H2" t="s">
        <v>1393</v>
      </c>
      <c r="I2" t="s">
        <v>152</v>
      </c>
      <c r="J2" t="s">
        <v>33</v>
      </c>
      <c r="K2" t="s">
        <v>403</v>
      </c>
      <c r="L2" t="s">
        <v>407</v>
      </c>
      <c r="M2" s="48" t="s">
        <v>410</v>
      </c>
      <c r="N2" t="s">
        <v>471</v>
      </c>
      <c r="O2" t="s">
        <v>463</v>
      </c>
      <c r="P2" t="s">
        <v>417</v>
      </c>
      <c r="Q2" t="s">
        <v>613</v>
      </c>
      <c r="R2" t="s">
        <v>623</v>
      </c>
      <c r="S2" t="s">
        <v>94</v>
      </c>
      <c r="T2" t="s">
        <v>980</v>
      </c>
      <c r="U2" t="s">
        <v>714</v>
      </c>
      <c r="V2" t="s">
        <v>717</v>
      </c>
      <c r="W2" s="116" t="s">
        <v>738</v>
      </c>
      <c r="X2" t="s">
        <v>422</v>
      </c>
      <c r="Y2" t="s">
        <v>424</v>
      </c>
      <c r="Z2" t="s">
        <v>986</v>
      </c>
      <c r="AA2" t="s">
        <v>109</v>
      </c>
      <c r="AC2" t="s">
        <v>30</v>
      </c>
      <c r="AD2" t="s">
        <v>132</v>
      </c>
      <c r="AE2" t="s">
        <v>436</v>
      </c>
      <c r="AF2" t="s">
        <v>418</v>
      </c>
      <c r="AG2" t="s">
        <v>456</v>
      </c>
      <c r="AH2" t="s">
        <v>132</v>
      </c>
      <c r="AI2" s="116" t="s">
        <v>488</v>
      </c>
      <c r="AJ2" t="s">
        <v>511</v>
      </c>
      <c r="AK2" t="s">
        <v>1004</v>
      </c>
      <c r="AL2" t="s">
        <v>1132</v>
      </c>
      <c r="AM2" t="s">
        <v>1141</v>
      </c>
      <c r="AN2" t="s">
        <v>1009</v>
      </c>
      <c r="AO2" t="s">
        <v>1025</v>
      </c>
      <c r="AP2" t="s">
        <v>1023</v>
      </c>
      <c r="AQ2">
        <v>0</v>
      </c>
      <c r="AR2" t="s">
        <v>1028</v>
      </c>
      <c r="AS2" t="s">
        <v>1032</v>
      </c>
      <c r="AT2" s="45" t="s">
        <v>768</v>
      </c>
      <c r="AU2" t="s">
        <v>794</v>
      </c>
      <c r="AV2" t="s">
        <v>1041</v>
      </c>
      <c r="AW2" t="s">
        <v>426</v>
      </c>
      <c r="AX2" t="s">
        <v>1049</v>
      </c>
      <c r="AY2" t="s">
        <v>426</v>
      </c>
      <c r="AZ2" t="s">
        <v>1058</v>
      </c>
      <c r="BA2" t="s">
        <v>1069</v>
      </c>
      <c r="BB2" t="s">
        <v>488</v>
      </c>
      <c r="BC2" t="s">
        <v>1089</v>
      </c>
      <c r="BD2" t="s">
        <v>1257</v>
      </c>
      <c r="BE2" t="s">
        <v>1271</v>
      </c>
    </row>
    <row r="3" spans="1:57" ht="13.5" customHeight="1">
      <c r="B3" t="s">
        <v>149</v>
      </c>
      <c r="C3" t="s">
        <v>149</v>
      </c>
      <c r="D3" t="s">
        <v>149</v>
      </c>
      <c r="E3" t="s">
        <v>962</v>
      </c>
      <c r="F3" t="s">
        <v>401</v>
      </c>
      <c r="G3" t="s">
        <v>972</v>
      </c>
      <c r="H3" t="s">
        <v>1394</v>
      </c>
      <c r="I3" t="s">
        <v>153</v>
      </c>
      <c r="J3" t="s">
        <v>203</v>
      </c>
      <c r="K3" t="s">
        <v>404</v>
      </c>
      <c r="L3" t="s">
        <v>406</v>
      </c>
      <c r="M3" s="48" t="s">
        <v>411</v>
      </c>
      <c r="N3" t="s">
        <v>472</v>
      </c>
      <c r="O3" t="s">
        <v>464</v>
      </c>
      <c r="P3" t="s">
        <v>418</v>
      </c>
      <c r="Q3" t="s">
        <v>612</v>
      </c>
      <c r="R3" t="s">
        <v>624</v>
      </c>
      <c r="S3" t="s">
        <v>95</v>
      </c>
      <c r="T3" t="s">
        <v>641</v>
      </c>
      <c r="U3" t="s">
        <v>715</v>
      </c>
      <c r="V3" t="s">
        <v>718</v>
      </c>
      <c r="W3" s="116" t="s">
        <v>739</v>
      </c>
      <c r="X3" t="s">
        <v>423</v>
      </c>
      <c r="Y3" t="s">
        <v>425</v>
      </c>
      <c r="Z3" t="s">
        <v>987</v>
      </c>
      <c r="AA3" t="s">
        <v>602</v>
      </c>
      <c r="AB3" t="s">
        <v>398</v>
      </c>
      <c r="AC3" t="s">
        <v>28</v>
      </c>
      <c r="AD3" t="s">
        <v>435</v>
      </c>
      <c r="AE3" t="s">
        <v>437</v>
      </c>
      <c r="AF3" t="s">
        <v>483</v>
      </c>
      <c r="AG3" t="s">
        <v>457</v>
      </c>
      <c r="AH3" t="s">
        <v>485</v>
      </c>
      <c r="AI3" s="116" t="s">
        <v>489</v>
      </c>
      <c r="AJ3" t="s">
        <v>512</v>
      </c>
      <c r="AK3" t="s">
        <v>1005</v>
      </c>
      <c r="AL3" t="s">
        <v>1133</v>
      </c>
      <c r="AM3" t="s">
        <v>1138</v>
      </c>
      <c r="AN3" t="s">
        <v>1010</v>
      </c>
      <c r="AO3" t="s">
        <v>1011</v>
      </c>
      <c r="AP3" s="265" t="s">
        <v>1017</v>
      </c>
      <c r="AQ3">
        <v>1</v>
      </c>
      <c r="AR3" t="s">
        <v>1029</v>
      </c>
      <c r="AS3" t="s">
        <v>1033</v>
      </c>
      <c r="AT3" s="45" t="s">
        <v>767</v>
      </c>
      <c r="AU3" t="s">
        <v>1262</v>
      </c>
      <c r="AV3" t="s">
        <v>1042</v>
      </c>
      <c r="AW3" t="s">
        <v>1046</v>
      </c>
      <c r="AX3" t="s">
        <v>1050</v>
      </c>
      <c r="AY3" t="s">
        <v>1054</v>
      </c>
      <c r="AZ3" t="s">
        <v>1059</v>
      </c>
      <c r="BA3" t="s">
        <v>1029</v>
      </c>
      <c r="BB3" t="s">
        <v>489</v>
      </c>
      <c r="BC3" t="s">
        <v>1090</v>
      </c>
      <c r="BD3" t="s">
        <v>1258</v>
      </c>
      <c r="BE3" t="s">
        <v>1272</v>
      </c>
    </row>
    <row r="4" spans="1:57" ht="15" customHeight="1">
      <c r="C4" t="s">
        <v>396</v>
      </c>
      <c r="D4" t="s">
        <v>398</v>
      </c>
      <c r="E4" t="s">
        <v>419</v>
      </c>
      <c r="G4" t="s">
        <v>973</v>
      </c>
      <c r="H4" t="s">
        <v>1395</v>
      </c>
      <c r="I4" t="s">
        <v>154</v>
      </c>
      <c r="J4" t="s">
        <v>204</v>
      </c>
      <c r="L4" t="s">
        <v>408</v>
      </c>
      <c r="M4" s="48" t="s">
        <v>412</v>
      </c>
      <c r="N4" t="s">
        <v>473</v>
      </c>
      <c r="O4" t="s">
        <v>419</v>
      </c>
      <c r="P4" t="s">
        <v>419</v>
      </c>
      <c r="Q4" t="s">
        <v>1126</v>
      </c>
      <c r="R4" t="s">
        <v>625</v>
      </c>
      <c r="S4" t="s">
        <v>426</v>
      </c>
      <c r="T4" t="s">
        <v>981</v>
      </c>
      <c r="U4" t="s">
        <v>149</v>
      </c>
      <c r="V4" t="s">
        <v>719</v>
      </c>
      <c r="W4" s="116" t="s">
        <v>740</v>
      </c>
      <c r="X4" t="s">
        <v>419</v>
      </c>
      <c r="Y4" t="s">
        <v>419</v>
      </c>
      <c r="Z4" t="s">
        <v>988</v>
      </c>
      <c r="AA4" t="s">
        <v>603</v>
      </c>
      <c r="AC4" t="s">
        <v>432</v>
      </c>
      <c r="AD4" t="s">
        <v>434</v>
      </c>
      <c r="AF4" t="s">
        <v>440</v>
      </c>
      <c r="AG4" t="s">
        <v>458</v>
      </c>
      <c r="AH4" t="s">
        <v>419</v>
      </c>
      <c r="AI4" s="116" t="s">
        <v>490</v>
      </c>
      <c r="AJ4" t="s">
        <v>419</v>
      </c>
      <c r="AK4" t="s">
        <v>398</v>
      </c>
      <c r="AL4" t="s">
        <v>1134</v>
      </c>
      <c r="AM4" t="s">
        <v>1139</v>
      </c>
      <c r="AN4" t="s">
        <v>419</v>
      </c>
      <c r="AO4" t="s">
        <v>1012</v>
      </c>
      <c r="AP4" s="265" t="s">
        <v>1018</v>
      </c>
      <c r="AQ4">
        <v>2</v>
      </c>
      <c r="AR4" t="s">
        <v>1030</v>
      </c>
      <c r="AS4" t="s">
        <v>1034</v>
      </c>
      <c r="AU4" t="s">
        <v>795</v>
      </c>
      <c r="AV4" t="s">
        <v>1043</v>
      </c>
      <c r="AW4" t="s">
        <v>1047</v>
      </c>
      <c r="AX4" t="s">
        <v>1051</v>
      </c>
      <c r="AY4" t="s">
        <v>1055</v>
      </c>
      <c r="AZ4" t="s">
        <v>1060</v>
      </c>
      <c r="BA4" t="s">
        <v>1070</v>
      </c>
      <c r="BB4" t="s">
        <v>490</v>
      </c>
      <c r="BC4" t="s">
        <v>419</v>
      </c>
      <c r="BD4" t="s">
        <v>1259</v>
      </c>
      <c r="BE4" t="s">
        <v>1273</v>
      </c>
    </row>
    <row r="5" spans="1:57" ht="15" customHeight="1">
      <c r="E5" t="s">
        <v>149</v>
      </c>
      <c r="G5" t="s">
        <v>974</v>
      </c>
      <c r="I5" t="s">
        <v>155</v>
      </c>
      <c r="J5" t="s">
        <v>205</v>
      </c>
      <c r="M5" s="48" t="s">
        <v>413</v>
      </c>
      <c r="N5" t="s">
        <v>474</v>
      </c>
      <c r="P5" t="s">
        <v>396</v>
      </c>
      <c r="Q5" t="s">
        <v>614</v>
      </c>
      <c r="R5" t="s">
        <v>626</v>
      </c>
      <c r="S5" t="s">
        <v>396</v>
      </c>
      <c r="T5" t="s">
        <v>982</v>
      </c>
      <c r="V5" t="s">
        <v>107</v>
      </c>
      <c r="W5" s="116" t="s">
        <v>741</v>
      </c>
      <c r="X5" t="s">
        <v>149</v>
      </c>
      <c r="Y5" t="s">
        <v>426</v>
      </c>
      <c r="Z5" t="s">
        <v>989</v>
      </c>
      <c r="AA5" t="s">
        <v>606</v>
      </c>
      <c r="AC5" t="s">
        <v>396</v>
      </c>
      <c r="AF5" t="s">
        <v>441</v>
      </c>
      <c r="AG5" t="s">
        <v>459</v>
      </c>
      <c r="AH5" t="s">
        <v>432</v>
      </c>
      <c r="AI5" s="116" t="s">
        <v>491</v>
      </c>
      <c r="AJ5" t="s">
        <v>149</v>
      </c>
      <c r="AL5" t="s">
        <v>1135</v>
      </c>
      <c r="AM5" t="s">
        <v>1140</v>
      </c>
      <c r="AN5" t="s">
        <v>432</v>
      </c>
      <c r="AO5" s="265" t="s">
        <v>1013</v>
      </c>
      <c r="AP5" s="265" t="s">
        <v>1019</v>
      </c>
      <c r="AQ5">
        <v>3</v>
      </c>
      <c r="AR5" t="s">
        <v>398</v>
      </c>
      <c r="AS5" t="s">
        <v>1035</v>
      </c>
      <c r="AU5" t="s">
        <v>1038</v>
      </c>
      <c r="AV5" t="s">
        <v>944</v>
      </c>
      <c r="AW5" t="s">
        <v>1341</v>
      </c>
      <c r="AX5" t="s">
        <v>1052</v>
      </c>
      <c r="AY5" t="s">
        <v>1056</v>
      </c>
      <c r="AZ5" t="s">
        <v>1061</v>
      </c>
      <c r="BA5" t="s">
        <v>1067</v>
      </c>
      <c r="BB5" t="s">
        <v>491</v>
      </c>
      <c r="BC5" t="s">
        <v>149</v>
      </c>
      <c r="BD5" t="s">
        <v>1260</v>
      </c>
      <c r="BE5" t="s">
        <v>1274</v>
      </c>
    </row>
    <row r="6" spans="1:57">
      <c r="G6" t="s">
        <v>107</v>
      </c>
      <c r="I6" t="s">
        <v>156</v>
      </c>
      <c r="J6" t="s">
        <v>206</v>
      </c>
      <c r="M6" s="48" t="s">
        <v>414</v>
      </c>
      <c r="N6" t="s">
        <v>475</v>
      </c>
      <c r="Q6" t="s">
        <v>615</v>
      </c>
      <c r="R6" t="s">
        <v>107</v>
      </c>
      <c r="T6" t="s">
        <v>983</v>
      </c>
      <c r="W6" s="116" t="s">
        <v>742</v>
      </c>
      <c r="X6" t="s">
        <v>107</v>
      </c>
      <c r="Y6" t="s">
        <v>396</v>
      </c>
      <c r="Z6" t="s">
        <v>990</v>
      </c>
      <c r="AA6" t="s">
        <v>605</v>
      </c>
      <c r="AF6" t="s">
        <v>107</v>
      </c>
      <c r="AG6" t="s">
        <v>426</v>
      </c>
      <c r="AI6" s="116" t="s">
        <v>492</v>
      </c>
      <c r="AL6" t="s">
        <v>1136</v>
      </c>
      <c r="AN6" t="s">
        <v>398</v>
      </c>
      <c r="AO6" t="s">
        <v>1014</v>
      </c>
      <c r="AP6" s="265" t="s">
        <v>1020</v>
      </c>
      <c r="AU6" t="s">
        <v>1039</v>
      </c>
      <c r="AV6" t="s">
        <v>107</v>
      </c>
      <c r="AW6" t="s">
        <v>1048</v>
      </c>
      <c r="AX6" t="s">
        <v>398</v>
      </c>
      <c r="AZ6" t="s">
        <v>1062</v>
      </c>
      <c r="BB6" t="s">
        <v>492</v>
      </c>
      <c r="BE6" t="s">
        <v>1275</v>
      </c>
    </row>
    <row r="7" spans="1:57" ht="15" customHeight="1">
      <c r="I7" t="s">
        <v>157</v>
      </c>
      <c r="J7" t="s">
        <v>207</v>
      </c>
      <c r="M7" s="48" t="s">
        <v>1252</v>
      </c>
      <c r="N7" t="s">
        <v>476</v>
      </c>
      <c r="Q7" t="s">
        <v>1120</v>
      </c>
      <c r="T7" t="s">
        <v>1208</v>
      </c>
      <c r="W7" s="116" t="s">
        <v>743</v>
      </c>
      <c r="X7" t="s">
        <v>396</v>
      </c>
      <c r="Z7" t="s">
        <v>991</v>
      </c>
      <c r="AA7" t="s">
        <v>608</v>
      </c>
      <c r="AG7" t="s">
        <v>396</v>
      </c>
      <c r="AI7" s="116" t="s">
        <v>493</v>
      </c>
      <c r="AL7" t="s">
        <v>1137</v>
      </c>
      <c r="AP7" s="265" t="s">
        <v>1021</v>
      </c>
      <c r="AU7" t="s">
        <v>1040</v>
      </c>
      <c r="AW7" t="s">
        <v>107</v>
      </c>
      <c r="AZ7" t="s">
        <v>1063</v>
      </c>
      <c r="BB7" t="s">
        <v>493</v>
      </c>
      <c r="BE7" t="s">
        <v>1276</v>
      </c>
    </row>
    <row r="8" spans="1:57" ht="15" customHeight="1">
      <c r="I8" t="s">
        <v>158</v>
      </c>
      <c r="J8" t="s">
        <v>208</v>
      </c>
      <c r="M8" s="48" t="s">
        <v>415</v>
      </c>
      <c r="N8" t="s">
        <v>477</v>
      </c>
      <c r="Q8" t="s">
        <v>1117</v>
      </c>
      <c r="T8" t="s">
        <v>984</v>
      </c>
      <c r="W8" s="116" t="s">
        <v>744</v>
      </c>
      <c r="Z8" t="s">
        <v>992</v>
      </c>
      <c r="AA8" t="s">
        <v>998</v>
      </c>
      <c r="AI8" s="116" t="s">
        <v>494</v>
      </c>
      <c r="AL8" t="s">
        <v>1209</v>
      </c>
      <c r="AP8" s="265" t="s">
        <v>1022</v>
      </c>
      <c r="AU8" t="s">
        <v>107</v>
      </c>
      <c r="AZ8" t="s">
        <v>1064</v>
      </c>
      <c r="BB8" t="s">
        <v>494</v>
      </c>
      <c r="BE8" t="s">
        <v>1277</v>
      </c>
    </row>
    <row r="9" spans="1:57" ht="15" customHeight="1">
      <c r="I9" t="s">
        <v>159</v>
      </c>
      <c r="J9" t="s">
        <v>209</v>
      </c>
      <c r="M9" s="49" t="s">
        <v>1253</v>
      </c>
      <c r="N9" t="s">
        <v>478</v>
      </c>
      <c r="Q9" t="s">
        <v>1118</v>
      </c>
      <c r="T9" t="s">
        <v>107</v>
      </c>
      <c r="W9" s="116" t="s">
        <v>745</v>
      </c>
      <c r="Z9" t="s">
        <v>993</v>
      </c>
      <c r="AA9" t="s">
        <v>999</v>
      </c>
      <c r="AI9" s="117" t="s">
        <v>398</v>
      </c>
      <c r="AP9" t="s">
        <v>1024</v>
      </c>
      <c r="AU9" t="s">
        <v>426</v>
      </c>
      <c r="AZ9" t="s">
        <v>1065</v>
      </c>
      <c r="BB9" t="s">
        <v>398</v>
      </c>
      <c r="BE9" t="s">
        <v>1278</v>
      </c>
    </row>
    <row r="10" spans="1:57" ht="15" customHeight="1">
      <c r="I10" t="s">
        <v>160</v>
      </c>
      <c r="J10" t="s">
        <v>555</v>
      </c>
      <c r="M10" s="52" t="s">
        <v>469</v>
      </c>
      <c r="N10" t="s">
        <v>479</v>
      </c>
      <c r="Q10" t="s">
        <v>616</v>
      </c>
      <c r="W10" s="116" t="s">
        <v>746</v>
      </c>
      <c r="Z10" t="s">
        <v>994</v>
      </c>
      <c r="AA10" t="s">
        <v>1000</v>
      </c>
      <c r="AZ10" t="s">
        <v>107</v>
      </c>
      <c r="BE10" t="s">
        <v>107</v>
      </c>
    </row>
    <row r="11" spans="1:57" ht="15" customHeight="1">
      <c r="I11" t="s">
        <v>161</v>
      </c>
      <c r="J11" t="s">
        <v>210</v>
      </c>
      <c r="M11" s="302" t="s">
        <v>1363</v>
      </c>
      <c r="N11" t="s">
        <v>480</v>
      </c>
      <c r="Q11" t="s">
        <v>618</v>
      </c>
      <c r="W11" s="116" t="s">
        <v>747</v>
      </c>
      <c r="Z11" t="s">
        <v>995</v>
      </c>
      <c r="AA11" t="s">
        <v>1001</v>
      </c>
    </row>
    <row r="12" spans="1:57" ht="15" customHeight="1">
      <c r="I12" t="s">
        <v>162</v>
      </c>
      <c r="J12" t="s">
        <v>211</v>
      </c>
      <c r="M12" s="52" t="s">
        <v>470</v>
      </c>
      <c r="N12" t="s">
        <v>481</v>
      </c>
      <c r="Q12" t="s">
        <v>617</v>
      </c>
      <c r="W12" s="116" t="s">
        <v>107</v>
      </c>
      <c r="Z12" t="s">
        <v>1289</v>
      </c>
      <c r="AA12" t="s">
        <v>1002</v>
      </c>
    </row>
    <row r="13" spans="1:57" ht="15" customHeight="1">
      <c r="I13" t="s">
        <v>163</v>
      </c>
      <c r="J13" t="s">
        <v>212</v>
      </c>
      <c r="M13" s="48"/>
      <c r="N13" t="s">
        <v>470</v>
      </c>
      <c r="Q13" t="s">
        <v>1119</v>
      </c>
      <c r="Z13" t="s">
        <v>997</v>
      </c>
      <c r="AA13" t="s">
        <v>986</v>
      </c>
    </row>
    <row r="14" spans="1:57" ht="15" customHeight="1">
      <c r="I14" t="s">
        <v>164</v>
      </c>
      <c r="J14" t="s">
        <v>213</v>
      </c>
      <c r="M14" s="48"/>
      <c r="Q14" t="s">
        <v>619</v>
      </c>
      <c r="AA14" t="s">
        <v>987</v>
      </c>
    </row>
    <row r="15" spans="1:57">
      <c r="I15" t="s">
        <v>165</v>
      </c>
      <c r="J15" t="s">
        <v>214</v>
      </c>
      <c r="M15" s="48"/>
      <c r="Q15" t="s">
        <v>107</v>
      </c>
      <c r="AA15" t="s">
        <v>988</v>
      </c>
    </row>
    <row r="16" spans="1:57">
      <c r="I16" t="s">
        <v>166</v>
      </c>
      <c r="J16" t="s">
        <v>215</v>
      </c>
      <c r="M16" s="48"/>
      <c r="AA16" t="s">
        <v>989</v>
      </c>
    </row>
    <row r="17" spans="9:27">
      <c r="I17" t="s">
        <v>167</v>
      </c>
      <c r="J17" t="s">
        <v>216</v>
      </c>
      <c r="M17" s="48"/>
      <c r="AA17" t="s">
        <v>990</v>
      </c>
    </row>
    <row r="18" spans="9:27">
      <c r="I18" t="s">
        <v>168</v>
      </c>
      <c r="J18" t="s">
        <v>217</v>
      </c>
      <c r="M18" s="48"/>
      <c r="AA18" t="s">
        <v>991</v>
      </c>
    </row>
    <row r="19" spans="9:27">
      <c r="I19" t="s">
        <v>169</v>
      </c>
      <c r="J19" t="s">
        <v>218</v>
      </c>
      <c r="M19" s="48"/>
      <c r="AA19" t="s">
        <v>992</v>
      </c>
    </row>
    <row r="20" spans="9:27">
      <c r="I20" t="s">
        <v>170</v>
      </c>
      <c r="J20" t="s">
        <v>219</v>
      </c>
      <c r="M20" s="48"/>
      <c r="AA20" t="s">
        <v>993</v>
      </c>
    </row>
    <row r="21" spans="9:27">
      <c r="I21" t="s">
        <v>171</v>
      </c>
      <c r="J21" t="s">
        <v>220</v>
      </c>
      <c r="M21" s="48"/>
      <c r="AA21" t="s">
        <v>994</v>
      </c>
    </row>
    <row r="22" spans="9:27">
      <c r="I22" t="s">
        <v>172</v>
      </c>
      <c r="J22" t="s">
        <v>221</v>
      </c>
      <c r="M22" s="48"/>
      <c r="AA22" t="s">
        <v>995</v>
      </c>
    </row>
    <row r="23" spans="9:27">
      <c r="I23" t="s">
        <v>173</v>
      </c>
      <c r="J23" t="s">
        <v>222</v>
      </c>
      <c r="M23" s="48"/>
      <c r="AA23" t="s">
        <v>996</v>
      </c>
    </row>
    <row r="24" spans="9:27">
      <c r="I24" t="s">
        <v>174</v>
      </c>
      <c r="J24" t="s">
        <v>223</v>
      </c>
      <c r="M24" s="48"/>
      <c r="AA24" t="s">
        <v>997</v>
      </c>
    </row>
    <row r="25" spans="9:27">
      <c r="I25" t="s">
        <v>175</v>
      </c>
      <c r="J25" t="s">
        <v>224</v>
      </c>
      <c r="M25" s="48"/>
      <c r="AA25" t="s">
        <v>107</v>
      </c>
    </row>
    <row r="26" spans="9:27">
      <c r="I26" t="s">
        <v>176</v>
      </c>
      <c r="J26" t="s">
        <v>225</v>
      </c>
      <c r="M26" s="48"/>
    </row>
    <row r="27" spans="9:27">
      <c r="I27" t="s">
        <v>177</v>
      </c>
      <c r="J27" t="s">
        <v>226</v>
      </c>
      <c r="M27" s="48"/>
    </row>
    <row r="28" spans="9:27">
      <c r="I28" t="s">
        <v>178</v>
      </c>
      <c r="J28" t="s">
        <v>556</v>
      </c>
      <c r="M28" s="48"/>
    </row>
    <row r="29" spans="9:27">
      <c r="I29" t="s">
        <v>179</v>
      </c>
      <c r="J29" t="s">
        <v>227</v>
      </c>
    </row>
    <row r="30" spans="9:27">
      <c r="I30" t="s">
        <v>180</v>
      </c>
      <c r="J30" t="s">
        <v>228</v>
      </c>
    </row>
    <row r="31" spans="9:27">
      <c r="I31" t="s">
        <v>181</v>
      </c>
      <c r="J31" t="s">
        <v>229</v>
      </c>
    </row>
    <row r="32" spans="9:27">
      <c r="I32" t="s">
        <v>182</v>
      </c>
      <c r="J32" t="s">
        <v>557</v>
      </c>
    </row>
    <row r="33" spans="9:10">
      <c r="I33" t="s">
        <v>183</v>
      </c>
      <c r="J33" t="s">
        <v>558</v>
      </c>
    </row>
    <row r="34" spans="9:10">
      <c r="I34" t="s">
        <v>184</v>
      </c>
      <c r="J34" t="s">
        <v>230</v>
      </c>
    </row>
    <row r="35" spans="9:10">
      <c r="I35" t="s">
        <v>185</v>
      </c>
      <c r="J35" t="s">
        <v>231</v>
      </c>
    </row>
    <row r="36" spans="9:10">
      <c r="I36" t="s">
        <v>186</v>
      </c>
      <c r="J36" t="s">
        <v>559</v>
      </c>
    </row>
    <row r="37" spans="9:10">
      <c r="I37" t="s">
        <v>187</v>
      </c>
      <c r="J37" t="s">
        <v>232</v>
      </c>
    </row>
    <row r="38" spans="9:10">
      <c r="I38" t="s">
        <v>188</v>
      </c>
      <c r="J38" t="s">
        <v>560</v>
      </c>
    </row>
    <row r="39" spans="9:10">
      <c r="I39" t="s">
        <v>189</v>
      </c>
      <c r="J39" t="s">
        <v>233</v>
      </c>
    </row>
    <row r="40" spans="9:10">
      <c r="I40" t="s">
        <v>190</v>
      </c>
      <c r="J40" t="s">
        <v>234</v>
      </c>
    </row>
    <row r="41" spans="9:10">
      <c r="I41" t="s">
        <v>191</v>
      </c>
      <c r="J41" t="s">
        <v>235</v>
      </c>
    </row>
    <row r="42" spans="9:10">
      <c r="I42" t="s">
        <v>192</v>
      </c>
      <c r="J42" t="s">
        <v>236</v>
      </c>
    </row>
    <row r="43" spans="9:10">
      <c r="I43" t="s">
        <v>193</v>
      </c>
      <c r="J43" t="s">
        <v>237</v>
      </c>
    </row>
    <row r="44" spans="9:10">
      <c r="I44" t="s">
        <v>194</v>
      </c>
      <c r="J44" t="s">
        <v>238</v>
      </c>
    </row>
    <row r="45" spans="9:10">
      <c r="I45" t="s">
        <v>195</v>
      </c>
      <c r="J45" t="s">
        <v>239</v>
      </c>
    </row>
    <row r="46" spans="9:10">
      <c r="I46" t="s">
        <v>196</v>
      </c>
      <c r="J46" t="s">
        <v>240</v>
      </c>
    </row>
    <row r="47" spans="9:10">
      <c r="I47" t="s">
        <v>197</v>
      </c>
      <c r="J47" t="s">
        <v>561</v>
      </c>
    </row>
    <row r="48" spans="9:10">
      <c r="I48" t="s">
        <v>198</v>
      </c>
      <c r="J48" t="s">
        <v>241</v>
      </c>
    </row>
    <row r="49" spans="9:10">
      <c r="I49" t="s">
        <v>199</v>
      </c>
      <c r="J49" t="s">
        <v>242</v>
      </c>
    </row>
    <row r="50" spans="9:10">
      <c r="I50" t="s">
        <v>200</v>
      </c>
      <c r="J50" t="s">
        <v>243</v>
      </c>
    </row>
    <row r="51" spans="9:10">
      <c r="I51" t="s">
        <v>201</v>
      </c>
      <c r="J51" t="s">
        <v>562</v>
      </c>
    </row>
    <row r="52" spans="9:10">
      <c r="I52" t="s">
        <v>202</v>
      </c>
      <c r="J52" t="s">
        <v>563</v>
      </c>
    </row>
    <row r="53" spans="9:10">
      <c r="J53" t="s">
        <v>244</v>
      </c>
    </row>
    <row r="54" spans="9:10">
      <c r="J54" t="s">
        <v>245</v>
      </c>
    </row>
    <row r="55" spans="9:10">
      <c r="J55" t="s">
        <v>564</v>
      </c>
    </row>
    <row r="56" spans="9:10">
      <c r="J56" t="s">
        <v>246</v>
      </c>
    </row>
    <row r="57" spans="9:10">
      <c r="J57" t="s">
        <v>247</v>
      </c>
    </row>
    <row r="58" spans="9:10">
      <c r="J58" t="s">
        <v>565</v>
      </c>
    </row>
    <row r="59" spans="9:10">
      <c r="J59" t="s">
        <v>248</v>
      </c>
    </row>
    <row r="60" spans="9:10">
      <c r="J60" t="s">
        <v>249</v>
      </c>
    </row>
    <row r="61" spans="9:10">
      <c r="J61" t="s">
        <v>566</v>
      </c>
    </row>
    <row r="62" spans="9:10">
      <c r="J62" t="s">
        <v>250</v>
      </c>
    </row>
    <row r="63" spans="9:10">
      <c r="J63" t="s">
        <v>251</v>
      </c>
    </row>
    <row r="64" spans="9:10">
      <c r="J64" t="s">
        <v>252</v>
      </c>
    </row>
    <row r="65" spans="10:10">
      <c r="J65" t="s">
        <v>253</v>
      </c>
    </row>
    <row r="66" spans="10:10">
      <c r="J66" t="s">
        <v>254</v>
      </c>
    </row>
    <row r="67" spans="10:10">
      <c r="J67" t="s">
        <v>255</v>
      </c>
    </row>
    <row r="68" spans="10:10">
      <c r="J68" t="s">
        <v>256</v>
      </c>
    </row>
    <row r="69" spans="10:10">
      <c r="J69" t="s">
        <v>257</v>
      </c>
    </row>
    <row r="70" spans="10:10">
      <c r="J70" t="s">
        <v>258</v>
      </c>
    </row>
    <row r="71" spans="10:10">
      <c r="J71" t="s">
        <v>259</v>
      </c>
    </row>
    <row r="72" spans="10:10">
      <c r="J72" t="s">
        <v>567</v>
      </c>
    </row>
    <row r="73" spans="10:10">
      <c r="J73" t="s">
        <v>260</v>
      </c>
    </row>
    <row r="74" spans="10:10">
      <c r="J74" t="s">
        <v>261</v>
      </c>
    </row>
    <row r="75" spans="10:10">
      <c r="J75" t="s">
        <v>262</v>
      </c>
    </row>
    <row r="76" spans="10:10">
      <c r="J76" t="s">
        <v>263</v>
      </c>
    </row>
    <row r="77" spans="10:10">
      <c r="J77" t="s">
        <v>264</v>
      </c>
    </row>
    <row r="78" spans="10:10">
      <c r="J78" t="s">
        <v>265</v>
      </c>
    </row>
    <row r="79" spans="10:10">
      <c r="J79" t="s">
        <v>568</v>
      </c>
    </row>
    <row r="80" spans="10:10">
      <c r="J80" t="s">
        <v>266</v>
      </c>
    </row>
    <row r="81" spans="10:10">
      <c r="J81" t="s">
        <v>267</v>
      </c>
    </row>
    <row r="82" spans="10:10">
      <c r="J82" t="s">
        <v>569</v>
      </c>
    </row>
    <row r="83" spans="10:10">
      <c r="J83" t="s">
        <v>162</v>
      </c>
    </row>
    <row r="84" spans="10:10">
      <c r="J84" t="s">
        <v>268</v>
      </c>
    </row>
    <row r="85" spans="10:10">
      <c r="J85" t="s">
        <v>269</v>
      </c>
    </row>
    <row r="86" spans="10:10">
      <c r="J86" t="s">
        <v>270</v>
      </c>
    </row>
    <row r="87" spans="10:10">
      <c r="J87" t="s">
        <v>271</v>
      </c>
    </row>
    <row r="88" spans="10:10">
      <c r="J88" t="s">
        <v>272</v>
      </c>
    </row>
    <row r="89" spans="10:10">
      <c r="J89" t="s">
        <v>273</v>
      </c>
    </row>
    <row r="90" spans="10:10">
      <c r="J90" t="s">
        <v>274</v>
      </c>
    </row>
    <row r="91" spans="10:10">
      <c r="J91" t="s">
        <v>275</v>
      </c>
    </row>
    <row r="92" spans="10:10">
      <c r="J92" t="s">
        <v>276</v>
      </c>
    </row>
    <row r="93" spans="10:10">
      <c r="J93" t="s">
        <v>277</v>
      </c>
    </row>
    <row r="94" spans="10:10">
      <c r="J94" t="s">
        <v>278</v>
      </c>
    </row>
    <row r="95" spans="10:10">
      <c r="J95" t="s">
        <v>279</v>
      </c>
    </row>
    <row r="96" spans="10:10">
      <c r="J96" t="s">
        <v>280</v>
      </c>
    </row>
    <row r="97" spans="10:10">
      <c r="J97" t="s">
        <v>570</v>
      </c>
    </row>
    <row r="98" spans="10:10">
      <c r="J98" t="s">
        <v>571</v>
      </c>
    </row>
    <row r="99" spans="10:10">
      <c r="J99" t="s">
        <v>281</v>
      </c>
    </row>
    <row r="100" spans="10:10">
      <c r="J100" t="s">
        <v>282</v>
      </c>
    </row>
    <row r="101" spans="10:10">
      <c r="J101" t="s">
        <v>283</v>
      </c>
    </row>
    <row r="102" spans="10:10">
      <c r="J102" t="s">
        <v>284</v>
      </c>
    </row>
    <row r="103" spans="10:10">
      <c r="J103" t="s">
        <v>285</v>
      </c>
    </row>
    <row r="104" spans="10:10">
      <c r="J104" t="s">
        <v>286</v>
      </c>
    </row>
    <row r="105" spans="10:10">
      <c r="J105" t="s">
        <v>572</v>
      </c>
    </row>
    <row r="106" spans="10:10">
      <c r="J106" t="s">
        <v>287</v>
      </c>
    </row>
    <row r="107" spans="10:10">
      <c r="J107" t="s">
        <v>288</v>
      </c>
    </row>
    <row r="108" spans="10:10">
      <c r="J108" t="s">
        <v>289</v>
      </c>
    </row>
    <row r="109" spans="10:10">
      <c r="J109" t="s">
        <v>290</v>
      </c>
    </row>
    <row r="110" spans="10:10">
      <c r="J110" t="s">
        <v>291</v>
      </c>
    </row>
    <row r="111" spans="10:10">
      <c r="J111" t="s">
        <v>292</v>
      </c>
    </row>
    <row r="112" spans="10:10">
      <c r="J112" t="s">
        <v>293</v>
      </c>
    </row>
    <row r="113" spans="10:10">
      <c r="J113" t="s">
        <v>294</v>
      </c>
    </row>
    <row r="114" spans="10:10">
      <c r="J114" t="s">
        <v>295</v>
      </c>
    </row>
    <row r="115" spans="10:10">
      <c r="J115" t="s">
        <v>296</v>
      </c>
    </row>
    <row r="116" spans="10:10">
      <c r="J116" t="s">
        <v>573</v>
      </c>
    </row>
    <row r="117" spans="10:10">
      <c r="J117" t="s">
        <v>297</v>
      </c>
    </row>
    <row r="118" spans="10:10">
      <c r="J118" t="s">
        <v>298</v>
      </c>
    </row>
    <row r="119" spans="10:10">
      <c r="J119" t="s">
        <v>574</v>
      </c>
    </row>
    <row r="120" spans="10:10">
      <c r="J120" t="s">
        <v>299</v>
      </c>
    </row>
    <row r="121" spans="10:10">
      <c r="J121" t="s">
        <v>300</v>
      </c>
    </row>
    <row r="122" spans="10:10">
      <c r="J122" t="s">
        <v>301</v>
      </c>
    </row>
    <row r="123" spans="10:10">
      <c r="J123" t="s">
        <v>302</v>
      </c>
    </row>
    <row r="124" spans="10:10">
      <c r="J124" t="s">
        <v>575</v>
      </c>
    </row>
    <row r="125" spans="10:10">
      <c r="J125" t="s">
        <v>303</v>
      </c>
    </row>
    <row r="126" spans="10:10">
      <c r="J126" t="s">
        <v>304</v>
      </c>
    </row>
    <row r="127" spans="10:10">
      <c r="J127" t="s">
        <v>305</v>
      </c>
    </row>
    <row r="128" spans="10:10">
      <c r="J128" t="s">
        <v>306</v>
      </c>
    </row>
    <row r="129" spans="10:10">
      <c r="J129" t="s">
        <v>576</v>
      </c>
    </row>
    <row r="130" spans="10:10">
      <c r="J130" t="s">
        <v>307</v>
      </c>
    </row>
    <row r="131" spans="10:10">
      <c r="J131" t="s">
        <v>308</v>
      </c>
    </row>
    <row r="132" spans="10:10">
      <c r="J132" t="s">
        <v>309</v>
      </c>
    </row>
    <row r="133" spans="10:10">
      <c r="J133" t="s">
        <v>310</v>
      </c>
    </row>
    <row r="134" spans="10:10">
      <c r="J134" t="s">
        <v>311</v>
      </c>
    </row>
    <row r="135" spans="10:10">
      <c r="J135" t="s">
        <v>312</v>
      </c>
    </row>
    <row r="136" spans="10:10">
      <c r="J136" t="s">
        <v>313</v>
      </c>
    </row>
    <row r="137" spans="10:10">
      <c r="J137" t="s">
        <v>314</v>
      </c>
    </row>
    <row r="138" spans="10:10">
      <c r="J138" t="s">
        <v>315</v>
      </c>
    </row>
    <row r="139" spans="10:10">
      <c r="J139" t="s">
        <v>316</v>
      </c>
    </row>
    <row r="140" spans="10:10">
      <c r="J140" t="s">
        <v>317</v>
      </c>
    </row>
    <row r="141" spans="10:10">
      <c r="J141" t="s">
        <v>318</v>
      </c>
    </row>
    <row r="142" spans="10:10">
      <c r="J142" t="s">
        <v>577</v>
      </c>
    </row>
    <row r="143" spans="10:10">
      <c r="J143" t="s">
        <v>578</v>
      </c>
    </row>
    <row r="144" spans="10:10">
      <c r="J144" t="s">
        <v>319</v>
      </c>
    </row>
    <row r="145" spans="10:10">
      <c r="J145" t="s">
        <v>320</v>
      </c>
    </row>
    <row r="146" spans="10:10">
      <c r="J146" t="s">
        <v>321</v>
      </c>
    </row>
    <row r="147" spans="10:10">
      <c r="J147" t="s">
        <v>322</v>
      </c>
    </row>
    <row r="148" spans="10:10">
      <c r="J148" t="s">
        <v>323</v>
      </c>
    </row>
    <row r="149" spans="10:10">
      <c r="J149" t="s">
        <v>324</v>
      </c>
    </row>
    <row r="150" spans="10:10">
      <c r="J150" t="s">
        <v>325</v>
      </c>
    </row>
    <row r="151" spans="10:10">
      <c r="J151" t="s">
        <v>326</v>
      </c>
    </row>
    <row r="152" spans="10:10">
      <c r="J152" t="s">
        <v>327</v>
      </c>
    </row>
    <row r="153" spans="10:10">
      <c r="J153" t="s">
        <v>328</v>
      </c>
    </row>
    <row r="154" spans="10:10">
      <c r="J154" t="s">
        <v>329</v>
      </c>
    </row>
    <row r="155" spans="10:10">
      <c r="J155" t="s">
        <v>330</v>
      </c>
    </row>
    <row r="156" spans="10:10">
      <c r="J156" t="s">
        <v>331</v>
      </c>
    </row>
    <row r="157" spans="10:10">
      <c r="J157" t="s">
        <v>332</v>
      </c>
    </row>
    <row r="158" spans="10:10">
      <c r="J158" t="s">
        <v>333</v>
      </c>
    </row>
    <row r="159" spans="10:10">
      <c r="J159" t="s">
        <v>334</v>
      </c>
    </row>
    <row r="160" spans="10:10">
      <c r="J160" t="s">
        <v>335</v>
      </c>
    </row>
    <row r="161" spans="10:10">
      <c r="J161" t="s">
        <v>579</v>
      </c>
    </row>
    <row r="162" spans="10:10">
      <c r="J162" t="s">
        <v>336</v>
      </c>
    </row>
    <row r="163" spans="10:10">
      <c r="J163" t="s">
        <v>337</v>
      </c>
    </row>
    <row r="164" spans="10:10">
      <c r="J164" t="s">
        <v>338</v>
      </c>
    </row>
    <row r="165" spans="10:10">
      <c r="J165" t="s">
        <v>339</v>
      </c>
    </row>
    <row r="166" spans="10:10">
      <c r="J166" t="s">
        <v>340</v>
      </c>
    </row>
    <row r="167" spans="10:10">
      <c r="J167" t="s">
        <v>341</v>
      </c>
    </row>
    <row r="168" spans="10:10">
      <c r="J168" t="s">
        <v>342</v>
      </c>
    </row>
    <row r="169" spans="10:10">
      <c r="J169" t="s">
        <v>343</v>
      </c>
    </row>
    <row r="170" spans="10:10">
      <c r="J170" t="s">
        <v>344</v>
      </c>
    </row>
    <row r="171" spans="10:10">
      <c r="J171" t="s">
        <v>345</v>
      </c>
    </row>
    <row r="172" spans="10:10">
      <c r="J172" t="s">
        <v>580</v>
      </c>
    </row>
    <row r="173" spans="10:10">
      <c r="J173" t="s">
        <v>346</v>
      </c>
    </row>
    <row r="174" spans="10:10">
      <c r="J174" t="s">
        <v>347</v>
      </c>
    </row>
    <row r="175" spans="10:10">
      <c r="J175" t="s">
        <v>348</v>
      </c>
    </row>
    <row r="176" spans="10:10">
      <c r="J176" t="s">
        <v>349</v>
      </c>
    </row>
    <row r="177" spans="10:10">
      <c r="J177" t="s">
        <v>581</v>
      </c>
    </row>
    <row r="178" spans="10:10">
      <c r="J178" t="s">
        <v>350</v>
      </c>
    </row>
    <row r="179" spans="10:10">
      <c r="J179" t="s">
        <v>582</v>
      </c>
    </row>
    <row r="180" spans="10:10">
      <c r="J180" t="s">
        <v>351</v>
      </c>
    </row>
    <row r="181" spans="10:10">
      <c r="J181" t="s">
        <v>352</v>
      </c>
    </row>
    <row r="182" spans="10:10">
      <c r="J182" t="s">
        <v>583</v>
      </c>
    </row>
    <row r="183" spans="10:10">
      <c r="J183" t="s">
        <v>353</v>
      </c>
    </row>
    <row r="184" spans="10:10">
      <c r="J184" t="s">
        <v>584</v>
      </c>
    </row>
    <row r="185" spans="10:10">
      <c r="J185" t="s">
        <v>585</v>
      </c>
    </row>
    <row r="186" spans="10:10">
      <c r="J186" t="s">
        <v>586</v>
      </c>
    </row>
    <row r="187" spans="10:10">
      <c r="J187" t="s">
        <v>354</v>
      </c>
    </row>
    <row r="188" spans="10:10">
      <c r="J188" t="s">
        <v>587</v>
      </c>
    </row>
    <row r="189" spans="10:10">
      <c r="J189" t="s">
        <v>355</v>
      </c>
    </row>
    <row r="190" spans="10:10">
      <c r="J190" t="s">
        <v>356</v>
      </c>
    </row>
    <row r="191" spans="10:10">
      <c r="J191" t="s">
        <v>357</v>
      </c>
    </row>
    <row r="192" spans="10:10">
      <c r="J192" t="s">
        <v>358</v>
      </c>
    </row>
    <row r="193" spans="10:10">
      <c r="J193" t="s">
        <v>359</v>
      </c>
    </row>
    <row r="194" spans="10:10">
      <c r="J194" t="s">
        <v>360</v>
      </c>
    </row>
    <row r="195" spans="10:10">
      <c r="J195" t="s">
        <v>588</v>
      </c>
    </row>
    <row r="196" spans="10:10">
      <c r="J196" t="s">
        <v>361</v>
      </c>
    </row>
    <row r="197" spans="10:10">
      <c r="J197" t="s">
        <v>362</v>
      </c>
    </row>
    <row r="198" spans="10:10">
      <c r="J198" t="s">
        <v>363</v>
      </c>
    </row>
    <row r="199" spans="10:10">
      <c r="J199" t="s">
        <v>364</v>
      </c>
    </row>
    <row r="200" spans="10:10">
      <c r="J200" t="s">
        <v>365</v>
      </c>
    </row>
    <row r="201" spans="10:10">
      <c r="J201" t="s">
        <v>589</v>
      </c>
    </row>
    <row r="202" spans="10:10">
      <c r="J202" t="s">
        <v>590</v>
      </c>
    </row>
    <row r="203" spans="10:10">
      <c r="J203" t="s">
        <v>366</v>
      </c>
    </row>
    <row r="204" spans="10:10">
      <c r="J204" t="s">
        <v>367</v>
      </c>
    </row>
    <row r="205" spans="10:10">
      <c r="J205" t="s">
        <v>368</v>
      </c>
    </row>
    <row r="206" spans="10:10">
      <c r="J206" t="s">
        <v>369</v>
      </c>
    </row>
    <row r="207" spans="10:10">
      <c r="J207" t="s">
        <v>591</v>
      </c>
    </row>
    <row r="208" spans="10:10">
      <c r="J208" t="s">
        <v>370</v>
      </c>
    </row>
    <row r="209" spans="10:10">
      <c r="J209" t="s">
        <v>371</v>
      </c>
    </row>
    <row r="210" spans="10:10">
      <c r="J210" t="s">
        <v>372</v>
      </c>
    </row>
    <row r="211" spans="10:10">
      <c r="J211" t="s">
        <v>592</v>
      </c>
    </row>
    <row r="212" spans="10:10">
      <c r="J212" t="s">
        <v>593</v>
      </c>
    </row>
    <row r="213" spans="10:10">
      <c r="J213" t="s">
        <v>373</v>
      </c>
    </row>
    <row r="214" spans="10:10">
      <c r="J214" t="s">
        <v>594</v>
      </c>
    </row>
    <row r="215" spans="10:10">
      <c r="J215" t="s">
        <v>374</v>
      </c>
    </row>
    <row r="216" spans="10:10">
      <c r="J216" t="s">
        <v>375</v>
      </c>
    </row>
    <row r="217" spans="10:10">
      <c r="J217" t="s">
        <v>376</v>
      </c>
    </row>
    <row r="218" spans="10:10">
      <c r="J218" t="s">
        <v>377</v>
      </c>
    </row>
    <row r="219" spans="10:10">
      <c r="J219" t="s">
        <v>378</v>
      </c>
    </row>
    <row r="220" spans="10:10">
      <c r="J220" t="s">
        <v>595</v>
      </c>
    </row>
    <row r="221" spans="10:10">
      <c r="J221" t="s">
        <v>379</v>
      </c>
    </row>
    <row r="222" spans="10:10">
      <c r="J222" t="s">
        <v>380</v>
      </c>
    </row>
    <row r="223" spans="10:10">
      <c r="J223" t="s">
        <v>381</v>
      </c>
    </row>
    <row r="224" spans="10:10">
      <c r="J224" t="s">
        <v>596</v>
      </c>
    </row>
    <row r="225" spans="10:10">
      <c r="J225" t="s">
        <v>382</v>
      </c>
    </row>
    <row r="226" spans="10:10">
      <c r="J226" t="s">
        <v>383</v>
      </c>
    </row>
    <row r="227" spans="10:10">
      <c r="J227" t="s">
        <v>384</v>
      </c>
    </row>
    <row r="228" spans="10:10">
      <c r="J228" t="s">
        <v>385</v>
      </c>
    </row>
    <row r="229" spans="10:10">
      <c r="J229" t="s">
        <v>386</v>
      </c>
    </row>
    <row r="230" spans="10:10">
      <c r="J230" t="s">
        <v>387</v>
      </c>
    </row>
    <row r="231" spans="10:10">
      <c r="J231" t="s">
        <v>388</v>
      </c>
    </row>
    <row r="232" spans="10:10">
      <c r="J232" t="s">
        <v>389</v>
      </c>
    </row>
    <row r="233" spans="10:10">
      <c r="J233" t="s">
        <v>390</v>
      </c>
    </row>
    <row r="234" spans="10:10">
      <c r="J234" t="s">
        <v>391</v>
      </c>
    </row>
    <row r="235" spans="10:10">
      <c r="J235" t="s">
        <v>597</v>
      </c>
    </row>
    <row r="236" spans="10:10">
      <c r="J236" t="s">
        <v>598</v>
      </c>
    </row>
    <row r="237" spans="10:10">
      <c r="J237" t="s">
        <v>599</v>
      </c>
    </row>
    <row r="238" spans="10:10">
      <c r="J238" t="s">
        <v>600</v>
      </c>
    </row>
    <row r="239" spans="10:10">
      <c r="J239" t="s">
        <v>392</v>
      </c>
    </row>
    <row r="240" spans="10:10">
      <c r="J240" t="s">
        <v>601</v>
      </c>
    </row>
    <row r="241" spans="10:10">
      <c r="J241" t="s">
        <v>393</v>
      </c>
    </row>
    <row r="242" spans="10:10">
      <c r="J242" t="s">
        <v>394</v>
      </c>
    </row>
  </sheetData>
  <pageMargins left="0.7" right="0.7" top="0.75" bottom="0.75" header="0.3" footer="0.3"/>
  <pageSetup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9"/>
  <sheetViews>
    <sheetView zoomScale="85" zoomScaleNormal="85" workbookViewId="0">
      <selection activeCell="A2" sqref="A2:P2"/>
    </sheetView>
  </sheetViews>
  <sheetFormatPr defaultRowHeight="15"/>
  <cols>
    <col min="30" max="30" width="9.140625" customWidth="1"/>
  </cols>
  <sheetData>
    <row r="1" spans="1:94">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1406</v>
      </c>
      <c r="R1" t="s">
        <v>1760</v>
      </c>
      <c r="S1" t="s">
        <v>1761</v>
      </c>
      <c r="T1" t="s">
        <v>1759</v>
      </c>
      <c r="U1" t="s">
        <v>1762</v>
      </c>
      <c r="V1" t="s">
        <v>1410</v>
      </c>
      <c r="W1" t="s">
        <v>1407</v>
      </c>
      <c r="X1" t="s">
        <v>1409</v>
      </c>
      <c r="Y1" t="s">
        <v>1412</v>
      </c>
      <c r="Z1" t="s">
        <v>1414</v>
      </c>
      <c r="AA1" t="s">
        <v>1413</v>
      </c>
      <c r="AB1" t="s">
        <v>1411</v>
      </c>
      <c r="AC1" t="s">
        <v>1408</v>
      </c>
      <c r="AD1" t="s">
        <v>1419</v>
      </c>
      <c r="AE1" t="s">
        <v>1415</v>
      </c>
      <c r="AF1" t="s">
        <v>1417</v>
      </c>
      <c r="AG1" t="s">
        <v>1420</v>
      </c>
      <c r="AH1" t="s">
        <v>1418</v>
      </c>
      <c r="AI1" t="s">
        <v>1421</v>
      </c>
      <c r="AJ1" t="s">
        <v>1416</v>
      </c>
      <c r="AK1" t="s">
        <v>1422</v>
      </c>
      <c r="AL1" t="s">
        <v>1423</v>
      </c>
      <c r="AM1" t="s">
        <v>1426</v>
      </c>
      <c r="AN1" t="s">
        <v>1429</v>
      </c>
      <c r="AO1" t="s">
        <v>1427</v>
      </c>
      <c r="AP1" t="s">
        <v>1425</v>
      </c>
      <c r="AQ1" t="s">
        <v>1428</v>
      </c>
      <c r="AR1" t="s">
        <v>1424</v>
      </c>
      <c r="AS1" t="s">
        <v>1434</v>
      </c>
      <c r="AT1" t="s">
        <v>1431</v>
      </c>
      <c r="AU1" t="s">
        <v>1432</v>
      </c>
      <c r="AV1" t="s">
        <v>1433</v>
      </c>
      <c r="AW1" t="s">
        <v>1436</v>
      </c>
      <c r="AX1" t="s">
        <v>1435</v>
      </c>
      <c r="AY1" t="s">
        <v>1430</v>
      </c>
      <c r="AZ1" t="s">
        <v>1437</v>
      </c>
      <c r="BA1" t="s">
        <v>1438</v>
      </c>
      <c r="BB1" t="s">
        <v>1439</v>
      </c>
      <c r="BC1" t="s">
        <v>1444</v>
      </c>
      <c r="BD1" t="s">
        <v>1440</v>
      </c>
      <c r="BE1" t="s">
        <v>1446</v>
      </c>
      <c r="BF1" t="s">
        <v>1441</v>
      </c>
      <c r="BG1" t="s">
        <v>1445</v>
      </c>
      <c r="BH1" t="s">
        <v>1442</v>
      </c>
      <c r="BI1" t="s">
        <v>1449</v>
      </c>
      <c r="BJ1" t="s">
        <v>1443</v>
      </c>
      <c r="BK1" t="s">
        <v>1448</v>
      </c>
      <c r="BL1" t="s">
        <v>1447</v>
      </c>
      <c r="BM1" t="s">
        <v>1450</v>
      </c>
      <c r="BN1" t="s">
        <v>1454</v>
      </c>
      <c r="BO1" t="s">
        <v>1451</v>
      </c>
      <c r="BP1" t="s">
        <v>1453</v>
      </c>
      <c r="BQ1" t="s">
        <v>1452</v>
      </c>
      <c r="BR1" t="s">
        <v>1457</v>
      </c>
      <c r="BS1" t="s">
        <v>1458</v>
      </c>
      <c r="BT1" t="s">
        <v>1456</v>
      </c>
      <c r="BU1" t="s">
        <v>1455</v>
      </c>
      <c r="BV1" t="s">
        <v>1459</v>
      </c>
      <c r="BW1" t="s">
        <v>1764</v>
      </c>
      <c r="BX1" t="s">
        <v>1765</v>
      </c>
      <c r="BY1" t="s">
        <v>1766</v>
      </c>
      <c r="BZ1" t="s">
        <v>1767</v>
      </c>
      <c r="CA1" t="s">
        <v>1768</v>
      </c>
      <c r="CB1" t="s">
        <v>1769</v>
      </c>
      <c r="CC1" t="s">
        <v>1770</v>
      </c>
      <c r="CD1" t="s">
        <v>1771</v>
      </c>
      <c r="CE1" t="s">
        <v>1772</v>
      </c>
      <c r="CF1" t="s">
        <v>1773</v>
      </c>
      <c r="CG1" t="s">
        <v>1774</v>
      </c>
      <c r="CH1" t="s">
        <v>1775</v>
      </c>
      <c r="CI1" t="s">
        <v>1776</v>
      </c>
      <c r="CJ1" t="s">
        <v>1777</v>
      </c>
      <c r="CK1" t="s">
        <v>1778</v>
      </c>
      <c r="CL1" t="s">
        <v>1779</v>
      </c>
      <c r="CM1" t="s">
        <v>1780</v>
      </c>
      <c r="CN1" t="s">
        <v>1781</v>
      </c>
      <c r="CO1" t="s">
        <v>1782</v>
      </c>
      <c r="CP1" t="s">
        <v>1783</v>
      </c>
    </row>
    <row r="2" spans="1:94">
      <c r="A2">
        <f>OrgID</f>
        <v>0</v>
      </c>
      <c r="B2">
        <f>Q1a_A_OrgName</f>
        <v>0</v>
      </c>
      <c r="C2">
        <f>RP_A_OrgType</f>
        <v>0</v>
      </c>
      <c r="D2">
        <f>Q1c_A_CommercialPct</f>
        <v>0</v>
      </c>
      <c r="E2">
        <f>Q1c_A_DefensePct</f>
        <v>0</v>
      </c>
      <c r="F2">
        <f>Q4a_B_TotalUSGSupport</f>
        <v>0</v>
      </c>
      <c r="G2">
        <f>Q4b_A_DepUSG_YN</f>
        <v>0</v>
      </c>
      <c r="H2">
        <f>COUNTIF('D-5a-e (Pivot)'!$R$2:$S$13, "yes")</f>
        <v>0</v>
      </c>
      <c r="I2">
        <f>Q5d_A_Layers_2015</f>
        <v>0</v>
      </c>
      <c r="J2">
        <f>Q5d_A_Panels_2015</f>
        <v>0</v>
      </c>
      <c r="K2">
        <f>SUM('8'!E9:H9)/COUNTIF('8'!E9:H9, "&lt;&gt;0")</f>
        <v>0</v>
      </c>
      <c r="L2" t="str">
        <f>IF(K2=0, "No Sales", IF(K2&lt;25000, "Small", IF(K2&lt;100000, "Medium", IF(K2&lt;1000000, "Large", IF(K2&lt;9999999999999, "Very Large", "Size Error")))))</f>
        <v>No Sales</v>
      </c>
      <c r="M2">
        <f>Q12a_A_OpsChange_Type</f>
        <v>0</v>
      </c>
      <c r="N2" t="str">
        <f>Risk2015</f>
        <v>Insufficient Data</v>
      </c>
      <c r="O2" t="str">
        <f>RiskFinalScore</f>
        <v>Insufficient Data</v>
      </c>
      <c r="P2" t="str">
        <f>RiskFinalRating</f>
        <v>Uncalculated</v>
      </c>
      <c r="Q2">
        <f>RP_A_OrgType</f>
        <v>0</v>
      </c>
      <c r="R2">
        <f>RP_B_DesignYN</f>
        <v>0</v>
      </c>
      <c r="S2">
        <f>RP_B_ManufactureYN</f>
        <v>0</v>
      </c>
      <c r="T2">
        <f>RP_B_Assembly_YN</f>
        <v>0</v>
      </c>
      <c r="U2">
        <f>RP_C_OrgStructure</f>
        <v>0</v>
      </c>
      <c r="V2">
        <f>Q1a_A_OrgName</f>
        <v>0</v>
      </c>
      <c r="W2">
        <f>Q1a_A_OrgAddress</f>
        <v>0</v>
      </c>
      <c r="X2">
        <f>Q1a_A_OrgCity</f>
        <v>0</v>
      </c>
      <c r="Y2">
        <f>Q1a_A_OrgState</f>
        <v>0</v>
      </c>
      <c r="Z2">
        <f>Q1a_A_OrgZip</f>
        <v>0</v>
      </c>
      <c r="AA2">
        <f>Q1a_A_OrgWebsite</f>
        <v>0</v>
      </c>
      <c r="AB2">
        <f>Q1a_A_OrgPhone</f>
        <v>0</v>
      </c>
      <c r="AC2">
        <f>Q1a_A_OrgCAGE</f>
        <v>0</v>
      </c>
      <c r="AD2">
        <f>Q1a_B_ParentName</f>
        <v>0</v>
      </c>
      <c r="AE2">
        <f>Q1a_B_ParentAddress</f>
        <v>0</v>
      </c>
      <c r="AF2">
        <f>Q1a_B_ParentCity</f>
        <v>0</v>
      </c>
      <c r="AG2">
        <f>Q1a_B_ParentState</f>
        <v>0</v>
      </c>
      <c r="AH2">
        <f>Q1a_B_ParentCountry</f>
        <v>0</v>
      </c>
      <c r="AI2">
        <f>Q1a_B_ParentZip</f>
        <v>0</v>
      </c>
      <c r="AJ2">
        <f>Q1a_B_ParentCAGE</f>
        <v>0</v>
      </c>
      <c r="AK2">
        <f>Q1a_C_PubPriv</f>
        <v>0</v>
      </c>
      <c r="AL2">
        <f>Q1a_C_Ticker</f>
        <v>0</v>
      </c>
      <c r="AM2">
        <f>Q1a_D_POCName</f>
        <v>0</v>
      </c>
      <c r="AN2">
        <f>Q1a_D_POCTitle</f>
        <v>0</v>
      </c>
      <c r="AO2">
        <f>Q1a_D_POCPhone</f>
        <v>0</v>
      </c>
      <c r="AP2">
        <f>Q1a_D_POCEmail</f>
        <v>0</v>
      </c>
      <c r="AQ2">
        <f>Q1a_D_POCState</f>
        <v>0</v>
      </c>
      <c r="AR2">
        <f>Q1a_Comment</f>
        <v>0</v>
      </c>
      <c r="AS2">
        <f>Q1b_D_SmallBus</f>
        <v>0</v>
      </c>
      <c r="AT2">
        <f>Q1b_D_8a</f>
        <v>0</v>
      </c>
      <c r="AU2">
        <f>Q1b_D_HUBZone</f>
        <v>0</v>
      </c>
      <c r="AV2">
        <f>Q1b_D_Minority</f>
        <v>0</v>
      </c>
      <c r="AW2">
        <f>Q1b_D_Woman</f>
        <v>0</v>
      </c>
      <c r="AX2">
        <f>Q1b_D_Vet</f>
        <v>0</v>
      </c>
      <c r="AY2">
        <f>Q1b_Comment</f>
        <v>0</v>
      </c>
      <c r="AZ2">
        <f>Q1c_A_CommercialPct</f>
        <v>0</v>
      </c>
      <c r="BA2">
        <f>Q1c_A_DefensePct</f>
        <v>0</v>
      </c>
      <c r="BB2">
        <f>Q1c_B_Comm_Aero_Pct</f>
        <v>0</v>
      </c>
      <c r="BC2">
        <f>Q1c_B_Comm_Elec_Pct</f>
        <v>0</v>
      </c>
      <c r="BD2">
        <f>Q1c_B_Comm_Auto_Pct</f>
        <v>0</v>
      </c>
      <c r="BE2">
        <f>Q1c_B_Comm_Med_Pct</f>
        <v>0</v>
      </c>
      <c r="BF2">
        <f>Q1c_B_Comm_Comm_Pct</f>
        <v>0</v>
      </c>
      <c r="BG2">
        <f>Q1c_B_Comm_Marine_Pct</f>
        <v>0</v>
      </c>
      <c r="BH2">
        <f>Q1c_B_Comm_Comp_Pct</f>
        <v>0</v>
      </c>
      <c r="BI2">
        <f>Q1c_B_Comm_Space_Pct</f>
        <v>0</v>
      </c>
      <c r="BJ2">
        <f>Q1c_B_Comm_Consumer_Pct</f>
        <v>0</v>
      </c>
      <c r="BK2" t="str">
        <f>Q1c_B_Comm_Other_Specify</f>
        <v>(specify here)</v>
      </c>
      <c r="BL2">
        <f>Q1c_B_Comm_Other_Pct</f>
        <v>0</v>
      </c>
      <c r="BM2">
        <f>Q1c_C_Def_Aero_Pct</f>
        <v>0</v>
      </c>
      <c r="BN2">
        <f>Q1c_C_Def_Missile_Pct</f>
        <v>0</v>
      </c>
      <c r="BO2">
        <f>Q1c_C_Def_C4_Pct</f>
        <v>0</v>
      </c>
      <c r="BP2">
        <f>Q1c_C_Def_Marine_Pct</f>
        <v>0</v>
      </c>
      <c r="BQ2">
        <f>Q1c_C_Def_Elec_Pct</f>
        <v>0</v>
      </c>
      <c r="BR2">
        <f>Q1c_C_Def_Space_Pct</f>
        <v>0</v>
      </c>
      <c r="BS2">
        <f>Q1c_C_Def_Vehic_Pct</f>
        <v>0</v>
      </c>
      <c r="BT2" t="str">
        <f>Q1c_C_Def_Other_Specify</f>
        <v>(specify here)</v>
      </c>
      <c r="BU2">
        <f>Q1c_C_Def_Other_Pct</f>
        <v>0</v>
      </c>
      <c r="BV2">
        <f>Q1c_Comment</f>
        <v>0</v>
      </c>
      <c r="BW2" s="589">
        <f>'1b'!E17</f>
        <v>0</v>
      </c>
      <c r="BX2" s="589">
        <f>'1b'!E18</f>
        <v>0</v>
      </c>
      <c r="BY2" s="589">
        <f>'1b'!E19</f>
        <v>0</v>
      </c>
      <c r="BZ2" s="589">
        <f>'1b'!E20</f>
        <v>0</v>
      </c>
      <c r="CA2" s="589">
        <f>'1b'!E21</f>
        <v>0</v>
      </c>
      <c r="CB2" s="589">
        <f>'1b'!E22</f>
        <v>0</v>
      </c>
      <c r="CC2" s="589">
        <f>'1b'!E23</f>
        <v>0</v>
      </c>
      <c r="CD2" s="589">
        <f>'1b'!E24</f>
        <v>0</v>
      </c>
      <c r="CE2" s="589">
        <f>'1b'!E25</f>
        <v>0</v>
      </c>
      <c r="CF2" s="589">
        <f>'1b'!E26</f>
        <v>0</v>
      </c>
      <c r="CG2" s="589">
        <f>'1b'!I17</f>
        <v>0</v>
      </c>
      <c r="CH2" s="589">
        <f>'1b'!I18</f>
        <v>0</v>
      </c>
      <c r="CI2" s="589">
        <f>'1b'!I19</f>
        <v>0</v>
      </c>
      <c r="CJ2" s="589">
        <f>'1b'!I20</f>
        <v>0</v>
      </c>
      <c r="CK2" s="589">
        <f>'1b'!I21</f>
        <v>0</v>
      </c>
      <c r="CL2" s="589">
        <f>'1b'!I22</f>
        <v>0</v>
      </c>
      <c r="CM2" s="589">
        <f>'1b'!I23</f>
        <v>0</v>
      </c>
      <c r="CN2" s="589">
        <f>'1b'!I24</f>
        <v>0</v>
      </c>
      <c r="CO2" s="589">
        <f>'1b'!I25</f>
        <v>0</v>
      </c>
      <c r="CP2" s="589">
        <f>'1b'!I26</f>
        <v>0</v>
      </c>
    </row>
    <row r="16" spans="1:94">
      <c r="BC16" s="590"/>
    </row>
    <row r="17" spans="55:65">
      <c r="BC17" s="590"/>
    </row>
    <row r="18" spans="55:65">
      <c r="BC18" s="590"/>
    </row>
    <row r="19" spans="55:65">
      <c r="BC19" s="590"/>
    </row>
    <row r="20" spans="55:65">
      <c r="BC20" s="590"/>
    </row>
    <row r="21" spans="55:65">
      <c r="BC21" s="590"/>
      <c r="BM21" s="590"/>
    </row>
    <row r="22" spans="55:65">
      <c r="BC22" s="590"/>
      <c r="BM22" s="590"/>
    </row>
    <row r="23" spans="55:65">
      <c r="BC23" s="590"/>
      <c r="BM23" s="590"/>
    </row>
    <row r="24" spans="55:65">
      <c r="BC24" s="590"/>
      <c r="BM24" s="590"/>
    </row>
    <row r="25" spans="55:65">
      <c r="BC25" s="590"/>
      <c r="BM25" s="590"/>
    </row>
    <row r="26" spans="55:65">
      <c r="BC26" s="589"/>
      <c r="BM26" s="590"/>
    </row>
    <row r="27" spans="55:65">
      <c r="BC27" s="589"/>
      <c r="BM27" s="590"/>
    </row>
    <row r="28" spans="55:65">
      <c r="BC28" s="589"/>
      <c r="BM28" s="590"/>
    </row>
    <row r="29" spans="55:65">
      <c r="BC29" s="589"/>
      <c r="BM29" s="590"/>
    </row>
    <row r="30" spans="55:65">
      <c r="BC30" s="589"/>
      <c r="BM30" s="590"/>
    </row>
    <row r="31" spans="55:65">
      <c r="BC31" s="589"/>
      <c r="BM31" s="589"/>
    </row>
    <row r="32" spans="55:65">
      <c r="BC32" s="589"/>
      <c r="BM32" s="589"/>
    </row>
    <row r="33" spans="55:65">
      <c r="BC33" s="589"/>
      <c r="BM33" s="589"/>
    </row>
    <row r="34" spans="55:65">
      <c r="BC34" s="589"/>
      <c r="BM34" s="589"/>
    </row>
    <row r="35" spans="55:65">
      <c r="BC35" s="589"/>
    </row>
    <row r="36" spans="55:65">
      <c r="BC36" s="589"/>
    </row>
    <row r="37" spans="55:65">
      <c r="BC37" s="589"/>
    </row>
    <row r="38" spans="55:65">
      <c r="BC38" s="589"/>
    </row>
    <row r="39" spans="55:65">
      <c r="BC39" s="589"/>
    </row>
  </sheetData>
  <pageMargins left="0.7" right="0.7" top="0.75" bottom="0.75" header="0.3" footer="0.3"/>
  <pageSetup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zoomScale="85" zoomScaleNormal="85" workbookViewId="0">
      <selection activeCell="A2" sqref="A2:P2"/>
    </sheetView>
  </sheetViews>
  <sheetFormatPr defaultRowHeight="15"/>
  <sheetData>
    <row r="1" spans="1:23">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1784</v>
      </c>
      <c r="R1" t="s">
        <v>610</v>
      </c>
      <c r="S1" t="s">
        <v>611</v>
      </c>
      <c r="T1" t="s">
        <v>36</v>
      </c>
      <c r="U1" t="s">
        <v>37</v>
      </c>
      <c r="V1" t="s">
        <v>977</v>
      </c>
      <c r="W1" t="s">
        <v>42</v>
      </c>
    </row>
    <row r="2" spans="1:23">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v>1</v>
      </c>
      <c r="R2">
        <f>'1b'!C6</f>
        <v>0</v>
      </c>
      <c r="S2">
        <f>'1b'!F6</f>
        <v>0</v>
      </c>
      <c r="T2">
        <f>'1b'!G6</f>
        <v>0</v>
      </c>
      <c r="U2">
        <f>'1b'!H6</f>
        <v>0</v>
      </c>
      <c r="V2">
        <f>'1b'!I6</f>
        <v>0</v>
      </c>
      <c r="W2">
        <f>'1b'!J6</f>
        <v>0</v>
      </c>
    </row>
    <row r="3" spans="1:23">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v>2</v>
      </c>
      <c r="R3">
        <f>'1b'!C7</f>
        <v>0</v>
      </c>
      <c r="S3">
        <f>'1b'!F7</f>
        <v>0</v>
      </c>
      <c r="T3">
        <f>'1b'!G7</f>
        <v>0</v>
      </c>
      <c r="U3">
        <f>'1b'!H7</f>
        <v>0</v>
      </c>
      <c r="V3">
        <f>'1b'!I7</f>
        <v>0</v>
      </c>
      <c r="W3">
        <f>'1b'!J7</f>
        <v>0</v>
      </c>
    </row>
    <row r="4" spans="1:23">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v>3</v>
      </c>
      <c r="R4">
        <f>'1b'!C8</f>
        <v>0</v>
      </c>
      <c r="S4">
        <f>'1b'!F8</f>
        <v>0</v>
      </c>
      <c r="T4">
        <f>'1b'!G8</f>
        <v>0</v>
      </c>
      <c r="U4">
        <f>'1b'!H8</f>
        <v>0</v>
      </c>
      <c r="V4">
        <f>'1b'!I8</f>
        <v>0</v>
      </c>
      <c r="W4">
        <f>'1b'!J8</f>
        <v>0</v>
      </c>
    </row>
    <row r="5" spans="1:23">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v>4</v>
      </c>
      <c r="R5">
        <f>'1b'!C9</f>
        <v>0</v>
      </c>
      <c r="S5">
        <f>'1b'!F9</f>
        <v>0</v>
      </c>
      <c r="T5">
        <f>'1b'!G9</f>
        <v>0</v>
      </c>
      <c r="U5">
        <f>'1b'!H9</f>
        <v>0</v>
      </c>
      <c r="V5">
        <f>'1b'!I9</f>
        <v>0</v>
      </c>
      <c r="W5">
        <f>'1b'!J9</f>
        <v>0</v>
      </c>
    </row>
    <row r="6" spans="1:23">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v>5</v>
      </c>
      <c r="R6">
        <f>'1b'!C10</f>
        <v>0</v>
      </c>
      <c r="S6">
        <f>'1b'!F10</f>
        <v>0</v>
      </c>
      <c r="T6">
        <f>'1b'!G10</f>
        <v>0</v>
      </c>
      <c r="U6">
        <f>'1b'!H10</f>
        <v>0</v>
      </c>
      <c r="V6">
        <f>'1b'!I10</f>
        <v>0</v>
      </c>
      <c r="W6">
        <f>'1b'!J10</f>
        <v>0</v>
      </c>
    </row>
    <row r="7" spans="1:23">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v>6</v>
      </c>
      <c r="R7">
        <f>'1b'!C11</f>
        <v>0</v>
      </c>
      <c r="S7">
        <f>'1b'!F11</f>
        <v>0</v>
      </c>
      <c r="T7">
        <f>'1b'!G11</f>
        <v>0</v>
      </c>
      <c r="U7">
        <f>'1b'!H11</f>
        <v>0</v>
      </c>
      <c r="V7">
        <f>'1b'!I11</f>
        <v>0</v>
      </c>
      <c r="W7">
        <f>'1b'!J11</f>
        <v>0</v>
      </c>
    </row>
    <row r="8" spans="1:23">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v>7</v>
      </c>
      <c r="R8">
        <f>'1b'!C12</f>
        <v>0</v>
      </c>
      <c r="S8">
        <f>'1b'!F12</f>
        <v>0</v>
      </c>
      <c r="T8">
        <f>'1b'!G12</f>
        <v>0</v>
      </c>
      <c r="U8">
        <f>'1b'!H12</f>
        <v>0</v>
      </c>
      <c r="V8">
        <f>'1b'!I12</f>
        <v>0</v>
      </c>
      <c r="W8">
        <f>'1b'!J12</f>
        <v>0</v>
      </c>
    </row>
    <row r="9" spans="1:23">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v>8</v>
      </c>
      <c r="R9">
        <f>'1b'!C13</f>
        <v>0</v>
      </c>
      <c r="S9">
        <f>'1b'!F13</f>
        <v>0</v>
      </c>
      <c r="T9">
        <f>'1b'!G13</f>
        <v>0</v>
      </c>
      <c r="U9">
        <f>'1b'!H13</f>
        <v>0</v>
      </c>
      <c r="V9">
        <f>'1b'!I13</f>
        <v>0</v>
      </c>
      <c r="W9">
        <f>'1b'!J13</f>
        <v>0</v>
      </c>
    </row>
    <row r="10" spans="1:23">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v>9</v>
      </c>
      <c r="R10">
        <f>'1b'!C14</f>
        <v>0</v>
      </c>
      <c r="S10">
        <f>'1b'!F14</f>
        <v>0</v>
      </c>
      <c r="T10">
        <f>'1b'!G14</f>
        <v>0</v>
      </c>
      <c r="U10">
        <f>'1b'!H14</f>
        <v>0</v>
      </c>
      <c r="V10">
        <f>'1b'!I14</f>
        <v>0</v>
      </c>
      <c r="W10">
        <f>'1b'!J14</f>
        <v>0</v>
      </c>
    </row>
    <row r="11" spans="1:23">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v>10</v>
      </c>
      <c r="R11">
        <f>'1b'!C15</f>
        <v>0</v>
      </c>
      <c r="S11">
        <f>'1b'!F15</f>
        <v>0</v>
      </c>
      <c r="T11">
        <f>'1b'!G15</f>
        <v>0</v>
      </c>
      <c r="U11">
        <f>'1b'!H15</f>
        <v>0</v>
      </c>
      <c r="V11">
        <f>'1b'!I15</f>
        <v>0</v>
      </c>
      <c r="W11">
        <f>'1b'!J15</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
  <sheetViews>
    <sheetView showGridLines="0" showRowColHeaders="0" zoomScaleNormal="100" workbookViewId="0"/>
  </sheetViews>
  <sheetFormatPr defaultColWidth="8.85546875" defaultRowHeight="12.75"/>
  <cols>
    <col min="1" max="1" width="8.5703125" style="132" customWidth="1"/>
    <col min="2" max="2" width="34.5703125" style="290" customWidth="1"/>
    <col min="3" max="8" width="8.85546875" style="132"/>
    <col min="9" max="9" width="19.42578125" style="132" customWidth="1"/>
    <col min="10" max="16384" width="8.85546875" style="132"/>
  </cols>
  <sheetData>
    <row r="1" spans="2:11" ht="13.5" customHeight="1" thickBot="1"/>
    <row r="2" spans="2:11" ht="13.5" customHeight="1" thickBot="1">
      <c r="B2" s="286" t="s">
        <v>487</v>
      </c>
      <c r="C2" s="15"/>
      <c r="D2" s="657" t="s">
        <v>1204</v>
      </c>
      <c r="E2" s="657"/>
      <c r="F2" s="657"/>
      <c r="G2" s="657"/>
      <c r="H2" s="657"/>
      <c r="I2" s="112"/>
      <c r="J2" s="112"/>
      <c r="K2" s="113" t="s">
        <v>486</v>
      </c>
    </row>
    <row r="3" spans="2:11" ht="13.5" customHeight="1" thickBot="1">
      <c r="B3" s="706" t="s">
        <v>516</v>
      </c>
      <c r="C3" s="707"/>
      <c r="D3" s="707"/>
      <c r="E3" s="707"/>
      <c r="F3" s="707"/>
      <c r="G3" s="707"/>
      <c r="H3" s="707"/>
      <c r="I3" s="707"/>
      <c r="J3" s="707"/>
      <c r="K3" s="708"/>
    </row>
    <row r="4" spans="2:11">
      <c r="B4" s="289" t="s">
        <v>12</v>
      </c>
      <c r="C4" s="709" t="s">
        <v>13</v>
      </c>
      <c r="D4" s="709"/>
      <c r="E4" s="709"/>
      <c r="F4" s="709"/>
      <c r="G4" s="709"/>
      <c r="H4" s="709"/>
      <c r="I4" s="709"/>
      <c r="J4" s="709"/>
      <c r="K4" s="710"/>
    </row>
    <row r="5" spans="2:11" ht="53.25" customHeight="1">
      <c r="B5" s="133" t="s">
        <v>14</v>
      </c>
      <c r="C5" s="711" t="s">
        <v>518</v>
      </c>
      <c r="D5" s="711"/>
      <c r="E5" s="711"/>
      <c r="F5" s="711"/>
      <c r="G5" s="711"/>
      <c r="H5" s="711"/>
      <c r="I5" s="711"/>
      <c r="J5" s="711"/>
      <c r="K5" s="712"/>
    </row>
    <row r="6" spans="2:11" ht="27" customHeight="1">
      <c r="B6" s="133" t="s">
        <v>15</v>
      </c>
      <c r="C6" s="711" t="s">
        <v>16</v>
      </c>
      <c r="D6" s="711"/>
      <c r="E6" s="711"/>
      <c r="F6" s="711"/>
      <c r="G6" s="711"/>
      <c r="H6" s="711"/>
      <c r="I6" s="711"/>
      <c r="J6" s="711"/>
      <c r="K6" s="712"/>
    </row>
    <row r="7" spans="2:11" ht="27" customHeight="1">
      <c r="B7" s="287" t="s">
        <v>1292</v>
      </c>
      <c r="C7" s="713" t="s">
        <v>1293</v>
      </c>
      <c r="D7" s="714"/>
      <c r="E7" s="714"/>
      <c r="F7" s="714"/>
      <c r="G7" s="714"/>
      <c r="H7" s="714"/>
      <c r="I7" s="714"/>
      <c r="J7" s="714"/>
      <c r="K7" s="715"/>
    </row>
    <row r="8" spans="2:11" ht="27" customHeight="1">
      <c r="B8" s="133" t="s">
        <v>17</v>
      </c>
      <c r="C8" s="711" t="s">
        <v>18</v>
      </c>
      <c r="D8" s="711"/>
      <c r="E8" s="711"/>
      <c r="F8" s="711"/>
      <c r="G8" s="711"/>
      <c r="H8" s="711"/>
      <c r="I8" s="711"/>
      <c r="J8" s="711"/>
      <c r="K8" s="712"/>
    </row>
    <row r="9" spans="2:11" ht="27" customHeight="1">
      <c r="B9" s="133" t="s">
        <v>1294</v>
      </c>
      <c r="C9" s="719" t="s">
        <v>1295</v>
      </c>
      <c r="D9" s="720"/>
      <c r="E9" s="720"/>
      <c r="F9" s="720"/>
      <c r="G9" s="720"/>
      <c r="H9" s="720"/>
      <c r="I9" s="720"/>
      <c r="J9" s="720"/>
      <c r="K9" s="721"/>
    </row>
    <row r="10" spans="2:11" ht="54.75" customHeight="1">
      <c r="B10" s="133" t="s">
        <v>19</v>
      </c>
      <c r="C10" s="711" t="s">
        <v>519</v>
      </c>
      <c r="D10" s="711"/>
      <c r="E10" s="711"/>
      <c r="F10" s="711"/>
      <c r="G10" s="711"/>
      <c r="H10" s="711"/>
      <c r="I10" s="711"/>
      <c r="J10" s="711"/>
      <c r="K10" s="712"/>
    </row>
    <row r="11" spans="2:11" ht="33" customHeight="1">
      <c r="B11" s="133" t="s">
        <v>893</v>
      </c>
      <c r="C11" s="719" t="s">
        <v>894</v>
      </c>
      <c r="D11" s="720"/>
      <c r="E11" s="720"/>
      <c r="F11" s="720"/>
      <c r="G11" s="720"/>
      <c r="H11" s="720"/>
      <c r="I11" s="720"/>
      <c r="J11" s="720"/>
      <c r="K11" s="721"/>
    </row>
    <row r="12" spans="2:11" ht="27.75" customHeight="1">
      <c r="B12" s="133" t="s">
        <v>20</v>
      </c>
      <c r="C12" s="711" t="s">
        <v>1296</v>
      </c>
      <c r="D12" s="711"/>
      <c r="E12" s="711"/>
      <c r="F12" s="711"/>
      <c r="G12" s="711"/>
      <c r="H12" s="711"/>
      <c r="I12" s="711"/>
      <c r="J12" s="711"/>
      <c r="K12" s="712"/>
    </row>
    <row r="13" spans="2:11" ht="25.5" customHeight="1">
      <c r="B13" s="133" t="s">
        <v>21</v>
      </c>
      <c r="C13" s="711" t="s">
        <v>520</v>
      </c>
      <c r="D13" s="711"/>
      <c r="E13" s="711"/>
      <c r="F13" s="711"/>
      <c r="G13" s="711"/>
      <c r="H13" s="711"/>
      <c r="I13" s="711"/>
      <c r="J13" s="711"/>
      <c r="K13" s="712"/>
    </row>
    <row r="14" spans="2:11" ht="57" customHeight="1">
      <c r="B14" s="287" t="s">
        <v>639</v>
      </c>
      <c r="C14" s="713" t="s">
        <v>1297</v>
      </c>
      <c r="D14" s="714"/>
      <c r="E14" s="714"/>
      <c r="F14" s="714"/>
      <c r="G14" s="714"/>
      <c r="H14" s="714"/>
      <c r="I14" s="714"/>
      <c r="J14" s="714"/>
      <c r="K14" s="715"/>
    </row>
    <row r="15" spans="2:11" ht="69" customHeight="1">
      <c r="B15" s="417" t="s">
        <v>1298</v>
      </c>
      <c r="C15" s="713" t="s">
        <v>1299</v>
      </c>
      <c r="D15" s="714"/>
      <c r="E15" s="714"/>
      <c r="F15" s="714"/>
      <c r="G15" s="714"/>
      <c r="H15" s="714"/>
      <c r="I15" s="714"/>
      <c r="J15" s="714"/>
      <c r="K15" s="715"/>
    </row>
    <row r="16" spans="2:11" ht="33" customHeight="1">
      <c r="B16" s="287" t="s">
        <v>1300</v>
      </c>
      <c r="C16" s="713" t="s">
        <v>1301</v>
      </c>
      <c r="D16" s="714"/>
      <c r="E16" s="714"/>
      <c r="F16" s="714"/>
      <c r="G16" s="714"/>
      <c r="H16" s="714"/>
      <c r="I16" s="714"/>
      <c r="J16" s="714"/>
      <c r="K16" s="715"/>
    </row>
    <row r="17" spans="2:11" ht="29.25" customHeight="1">
      <c r="B17" s="287" t="s">
        <v>553</v>
      </c>
      <c r="C17" s="713" t="s">
        <v>1302</v>
      </c>
      <c r="D17" s="714"/>
      <c r="E17" s="714"/>
      <c r="F17" s="714"/>
      <c r="G17" s="714"/>
      <c r="H17" s="714"/>
      <c r="I17" s="714"/>
      <c r="J17" s="714"/>
      <c r="K17" s="715"/>
    </row>
    <row r="18" spans="2:11" ht="33.75" customHeight="1">
      <c r="B18" s="133" t="s">
        <v>22</v>
      </c>
      <c r="C18" s="711" t="s">
        <v>465</v>
      </c>
      <c r="D18" s="711"/>
      <c r="E18" s="711"/>
      <c r="F18" s="711"/>
      <c r="G18" s="711"/>
      <c r="H18" s="711"/>
      <c r="I18" s="711"/>
      <c r="J18" s="711"/>
      <c r="K18" s="712"/>
    </row>
    <row r="19" spans="2:11" ht="43.5" customHeight="1">
      <c r="B19" s="133" t="s">
        <v>1303</v>
      </c>
      <c r="C19" s="719" t="s">
        <v>1304</v>
      </c>
      <c r="D19" s="720"/>
      <c r="E19" s="720"/>
      <c r="F19" s="720"/>
      <c r="G19" s="720"/>
      <c r="H19" s="720"/>
      <c r="I19" s="720"/>
      <c r="J19" s="720"/>
      <c r="K19" s="721"/>
    </row>
    <row r="20" spans="2:11" ht="43.5" customHeight="1">
      <c r="B20" s="133" t="s">
        <v>23</v>
      </c>
      <c r="C20" s="711" t="s">
        <v>521</v>
      </c>
      <c r="D20" s="711"/>
      <c r="E20" s="711"/>
      <c r="F20" s="711"/>
      <c r="G20" s="711"/>
      <c r="H20" s="711"/>
      <c r="I20" s="711"/>
      <c r="J20" s="711"/>
      <c r="K20" s="712"/>
    </row>
    <row r="21" spans="2:11" ht="43.5" customHeight="1">
      <c r="B21" s="287" t="s">
        <v>1305</v>
      </c>
      <c r="C21" s="719" t="s">
        <v>1306</v>
      </c>
      <c r="D21" s="720"/>
      <c r="E21" s="720"/>
      <c r="F21" s="720"/>
      <c r="G21" s="720"/>
      <c r="H21" s="720"/>
      <c r="I21" s="720"/>
      <c r="J21" s="720"/>
      <c r="K21" s="721"/>
    </row>
    <row r="22" spans="2:11" ht="43.5" customHeight="1">
      <c r="B22" s="287" t="s">
        <v>1307</v>
      </c>
      <c r="C22" s="719" t="s">
        <v>1308</v>
      </c>
      <c r="D22" s="720"/>
      <c r="E22" s="720"/>
      <c r="F22" s="720"/>
      <c r="G22" s="720"/>
      <c r="H22" s="720"/>
      <c r="I22" s="720"/>
      <c r="J22" s="720"/>
      <c r="K22" s="721"/>
    </row>
    <row r="23" spans="2:11" ht="27" customHeight="1">
      <c r="B23" s="133" t="s">
        <v>24</v>
      </c>
      <c r="C23" s="711" t="s">
        <v>25</v>
      </c>
      <c r="D23" s="711"/>
      <c r="E23" s="711"/>
      <c r="F23" s="711"/>
      <c r="G23" s="711"/>
      <c r="H23" s="711"/>
      <c r="I23" s="711"/>
      <c r="J23" s="711"/>
      <c r="K23" s="712"/>
    </row>
    <row r="24" spans="2:11" ht="32.25" customHeight="1">
      <c r="B24" s="287" t="s">
        <v>1309</v>
      </c>
      <c r="C24" s="719" t="s">
        <v>1310</v>
      </c>
      <c r="D24" s="720"/>
      <c r="E24" s="720"/>
      <c r="F24" s="720"/>
      <c r="G24" s="720"/>
      <c r="H24" s="720"/>
      <c r="I24" s="720"/>
      <c r="J24" s="720"/>
      <c r="K24" s="721"/>
    </row>
    <row r="25" spans="2:11" ht="50.25" customHeight="1">
      <c r="B25" s="287" t="s">
        <v>1311</v>
      </c>
      <c r="C25" s="719" t="s">
        <v>1312</v>
      </c>
      <c r="D25" s="720"/>
      <c r="E25" s="720"/>
      <c r="F25" s="720"/>
      <c r="G25" s="720"/>
      <c r="H25" s="720"/>
      <c r="I25" s="720"/>
      <c r="J25" s="720"/>
      <c r="K25" s="721"/>
    </row>
    <row r="26" spans="2:11" ht="33.75" customHeight="1">
      <c r="B26" s="287" t="s">
        <v>552</v>
      </c>
      <c r="C26" s="719" t="s">
        <v>1313</v>
      </c>
      <c r="D26" s="720"/>
      <c r="E26" s="720"/>
      <c r="F26" s="720"/>
      <c r="G26" s="720"/>
      <c r="H26" s="720"/>
      <c r="I26" s="720"/>
      <c r="J26" s="720"/>
      <c r="K26" s="721"/>
    </row>
    <row r="27" spans="2:11" ht="27" customHeight="1">
      <c r="B27" s="287" t="s">
        <v>554</v>
      </c>
      <c r="C27" s="719" t="s">
        <v>1314</v>
      </c>
      <c r="D27" s="720"/>
      <c r="E27" s="720"/>
      <c r="F27" s="720"/>
      <c r="G27" s="720"/>
      <c r="H27" s="720"/>
      <c r="I27" s="720"/>
      <c r="J27" s="720"/>
      <c r="K27" s="721"/>
    </row>
    <row r="28" spans="2:11" ht="42.75" customHeight="1">
      <c r="B28" s="133" t="s">
        <v>26</v>
      </c>
      <c r="C28" s="711" t="s">
        <v>27</v>
      </c>
      <c r="D28" s="711"/>
      <c r="E28" s="711"/>
      <c r="F28" s="711"/>
      <c r="G28" s="711"/>
      <c r="H28" s="711"/>
      <c r="I28" s="711"/>
      <c r="J28" s="711"/>
      <c r="K28" s="712"/>
    </row>
    <row r="29" spans="2:11" ht="40.5" customHeight="1">
      <c r="B29" s="133" t="s">
        <v>28</v>
      </c>
      <c r="C29" s="711" t="s">
        <v>29</v>
      </c>
      <c r="D29" s="711"/>
      <c r="E29" s="711"/>
      <c r="F29" s="711"/>
      <c r="G29" s="711"/>
      <c r="H29" s="711"/>
      <c r="I29" s="711"/>
      <c r="J29" s="711"/>
      <c r="K29" s="712"/>
    </row>
    <row r="30" spans="2:11" ht="33.75" customHeight="1">
      <c r="B30" s="133" t="s">
        <v>30</v>
      </c>
      <c r="C30" s="711" t="s">
        <v>522</v>
      </c>
      <c r="D30" s="711"/>
      <c r="E30" s="711"/>
      <c r="F30" s="711"/>
      <c r="G30" s="711"/>
      <c r="H30" s="711"/>
      <c r="I30" s="711"/>
      <c r="J30" s="711"/>
      <c r="K30" s="712"/>
    </row>
    <row r="31" spans="2:11" ht="42.75" customHeight="1">
      <c r="B31" s="133" t="s">
        <v>31</v>
      </c>
      <c r="C31" s="711" t="s">
        <v>32</v>
      </c>
      <c r="D31" s="711"/>
      <c r="E31" s="711"/>
      <c r="F31" s="711"/>
      <c r="G31" s="711"/>
      <c r="H31" s="711"/>
      <c r="I31" s="711"/>
      <c r="J31" s="711"/>
      <c r="K31" s="712"/>
    </row>
    <row r="32" spans="2:11" ht="33.75" customHeight="1">
      <c r="B32" s="133" t="s">
        <v>33</v>
      </c>
      <c r="C32" s="711" t="s">
        <v>34</v>
      </c>
      <c r="D32" s="711"/>
      <c r="E32" s="711"/>
      <c r="F32" s="711"/>
      <c r="G32" s="711"/>
      <c r="H32" s="711"/>
      <c r="I32" s="711"/>
      <c r="J32" s="711"/>
      <c r="K32" s="712"/>
    </row>
    <row r="33" spans="2:11" ht="34.5" customHeight="1">
      <c r="B33" s="288" t="s">
        <v>1315</v>
      </c>
      <c r="C33" s="719" t="s">
        <v>1316</v>
      </c>
      <c r="D33" s="720"/>
      <c r="E33" s="720"/>
      <c r="F33" s="720"/>
      <c r="G33" s="720"/>
      <c r="H33" s="720"/>
      <c r="I33" s="720"/>
      <c r="J33" s="720"/>
      <c r="K33" s="721"/>
    </row>
    <row r="34" spans="2:11" ht="24.75" customHeight="1" thickBot="1">
      <c r="B34" s="291" t="s">
        <v>1317</v>
      </c>
      <c r="C34" s="722" t="s">
        <v>1318</v>
      </c>
      <c r="D34" s="723"/>
      <c r="E34" s="723"/>
      <c r="F34" s="723"/>
      <c r="G34" s="723"/>
      <c r="H34" s="723"/>
      <c r="I34" s="723"/>
      <c r="J34" s="723"/>
      <c r="K34" s="724"/>
    </row>
    <row r="35" spans="2:11">
      <c r="B35" s="292"/>
      <c r="C35" s="134"/>
      <c r="D35" s="134"/>
      <c r="E35" s="134"/>
      <c r="F35" s="134"/>
      <c r="G35" s="134"/>
      <c r="H35" s="134"/>
      <c r="I35" s="134"/>
      <c r="J35" s="134"/>
      <c r="K35" s="135"/>
    </row>
    <row r="36" spans="2:11" ht="13.5" thickBot="1">
      <c r="B36" s="716" t="s">
        <v>4</v>
      </c>
      <c r="C36" s="717"/>
      <c r="D36" s="717"/>
      <c r="E36" s="717"/>
      <c r="F36" s="717"/>
      <c r="G36" s="717"/>
      <c r="H36" s="717"/>
      <c r="I36" s="717"/>
      <c r="J36" s="717"/>
      <c r="K36" s="718"/>
    </row>
  </sheetData>
  <sheetProtection password="C288" sheet="1"/>
  <mergeCells count="34">
    <mergeCell ref="C27:K27"/>
    <mergeCell ref="C32:K32"/>
    <mergeCell ref="C33:K33"/>
    <mergeCell ref="C34:K34"/>
    <mergeCell ref="C17:K17"/>
    <mergeCell ref="C21:K21"/>
    <mergeCell ref="C22:K22"/>
    <mergeCell ref="C24:K24"/>
    <mergeCell ref="C25:K25"/>
    <mergeCell ref="C26:K26"/>
    <mergeCell ref="C9:K9"/>
    <mergeCell ref="C13:K13"/>
    <mergeCell ref="C10:K10"/>
    <mergeCell ref="C18:K18"/>
    <mergeCell ref="C11:K11"/>
    <mergeCell ref="C12:K12"/>
    <mergeCell ref="C15:K15"/>
    <mergeCell ref="C16:K16"/>
    <mergeCell ref="B36:K36"/>
    <mergeCell ref="C31:K31"/>
    <mergeCell ref="C23:K23"/>
    <mergeCell ref="C28:K28"/>
    <mergeCell ref="C6:K6"/>
    <mergeCell ref="C14:K14"/>
    <mergeCell ref="C19:K19"/>
    <mergeCell ref="C20:K20"/>
    <mergeCell ref="C30:K30"/>
    <mergeCell ref="C29:K29"/>
    <mergeCell ref="B3:K3"/>
    <mergeCell ref="C4:K4"/>
    <mergeCell ref="C5:K5"/>
    <mergeCell ref="C8:K8"/>
    <mergeCell ref="D2:H2"/>
    <mergeCell ref="C7:K7"/>
  </mergeCells>
  <hyperlinks>
    <hyperlink ref="B2" location="'General Instructions'!A1" tooltip="General Instructions" display="Previous Page"/>
    <hyperlink ref="D2:H2" location="'Table of Contents'!A1" tooltip="Table of Contents" display="Table of Contents"/>
    <hyperlink ref="K2" location="'Respondent Profile'!A1" tooltip="Respondent Profile" display="Next Page"/>
  </hyperlinks>
  <pageMargins left="0.25" right="0.25" top="0.75" bottom="0.75" header="0.3" footer="0.3"/>
  <pageSetup scale="60" orientation="portrait" cellComments="atEnd" r:id="rId1"/>
  <headerFooter>
    <oddHeader>&amp;F</oddHeader>
    <oddFooter>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zoomScale="85" zoomScaleNormal="85" workbookViewId="0">
      <selection activeCell="A2" sqref="A2:P2"/>
    </sheetView>
  </sheetViews>
  <sheetFormatPr defaultRowHeight="15"/>
  <sheetData>
    <row r="1" spans="1:25">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1785</v>
      </c>
      <c r="R1" t="s">
        <v>1787</v>
      </c>
      <c r="S1" t="s">
        <v>35</v>
      </c>
      <c r="T1" t="s">
        <v>97</v>
      </c>
      <c r="U1" t="s">
        <v>42</v>
      </c>
      <c r="V1" t="s">
        <v>98</v>
      </c>
      <c r="W1" t="s">
        <v>1786</v>
      </c>
      <c r="X1" t="s">
        <v>497</v>
      </c>
      <c r="Y1" t="s">
        <v>1790</v>
      </c>
    </row>
    <row r="2" spans="1:25">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96</v>
      </c>
      <c r="R2">
        <f>Q2_A_MAD_Num</f>
        <v>0</v>
      </c>
      <c r="S2">
        <f>'2'!D8</f>
        <v>0</v>
      </c>
      <c r="T2">
        <f>'2'!F8</f>
        <v>0</v>
      </c>
      <c r="U2">
        <f>'2'!G8</f>
        <v>0</v>
      </c>
      <c r="V2">
        <f>'2'!H8</f>
        <v>0</v>
      </c>
      <c r="W2">
        <f>'2'!I8</f>
        <v>0</v>
      </c>
      <c r="X2">
        <f>'2'!M8</f>
        <v>0</v>
      </c>
      <c r="Y2">
        <f>Q2_Comment</f>
        <v>0</v>
      </c>
    </row>
    <row r="3" spans="1:25">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96</v>
      </c>
      <c r="R3" t="s">
        <v>1789</v>
      </c>
      <c r="S3">
        <f>'2'!D9</f>
        <v>0</v>
      </c>
      <c r="T3">
        <v>0</v>
      </c>
      <c r="U3">
        <f>'2'!G9</f>
        <v>0</v>
      </c>
      <c r="V3">
        <f>'2'!H9</f>
        <v>0</v>
      </c>
      <c r="W3">
        <f>'2'!I9</f>
        <v>0</v>
      </c>
      <c r="X3">
        <f>'2'!M9</f>
        <v>0</v>
      </c>
      <c r="Y3" t="s">
        <v>1789</v>
      </c>
    </row>
    <row r="4" spans="1:25">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96</v>
      </c>
      <c r="R4" t="s">
        <v>1789</v>
      </c>
      <c r="S4">
        <f>'2'!D10</f>
        <v>0</v>
      </c>
      <c r="T4">
        <v>0</v>
      </c>
      <c r="U4">
        <f>'2'!G10</f>
        <v>0</v>
      </c>
      <c r="V4">
        <f>'2'!H10</f>
        <v>0</v>
      </c>
      <c r="W4">
        <f>'2'!I10</f>
        <v>0</v>
      </c>
      <c r="X4">
        <f>'2'!M10</f>
        <v>0</v>
      </c>
      <c r="Y4" t="s">
        <v>1789</v>
      </c>
    </row>
    <row r="5" spans="1:25">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96</v>
      </c>
      <c r="R5" t="s">
        <v>1789</v>
      </c>
      <c r="S5">
        <f>'2'!D11</f>
        <v>0</v>
      </c>
      <c r="T5">
        <v>0</v>
      </c>
      <c r="U5">
        <f>'2'!G11</f>
        <v>0</v>
      </c>
      <c r="V5">
        <f>'2'!H11</f>
        <v>0</v>
      </c>
      <c r="W5">
        <f>'2'!I11</f>
        <v>0</v>
      </c>
      <c r="X5">
        <f>'2'!M11</f>
        <v>0</v>
      </c>
      <c r="Y5" t="s">
        <v>1789</v>
      </c>
    </row>
    <row r="6" spans="1:25">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96</v>
      </c>
      <c r="R6" t="s">
        <v>1789</v>
      </c>
      <c r="S6">
        <f>'2'!D12</f>
        <v>0</v>
      </c>
      <c r="T6">
        <v>0</v>
      </c>
      <c r="U6">
        <f>'2'!G12</f>
        <v>0</v>
      </c>
      <c r="V6">
        <f>'2'!H12</f>
        <v>0</v>
      </c>
      <c r="W6">
        <f>'2'!I12</f>
        <v>0</v>
      </c>
      <c r="X6">
        <f>'2'!M12</f>
        <v>0</v>
      </c>
      <c r="Y6" t="s">
        <v>1789</v>
      </c>
    </row>
    <row r="7" spans="1:25">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111</v>
      </c>
      <c r="R7">
        <f>Q2_A_JV_Num</f>
        <v>0</v>
      </c>
      <c r="S7">
        <f>'2'!D17</f>
        <v>0</v>
      </c>
      <c r="T7" t="s">
        <v>1788</v>
      </c>
      <c r="U7">
        <f>'2'!G17</f>
        <v>0</v>
      </c>
      <c r="V7">
        <f>'2'!H17</f>
        <v>0</v>
      </c>
      <c r="W7">
        <f>'2'!I17</f>
        <v>0</v>
      </c>
      <c r="X7">
        <f>'2'!M17</f>
        <v>0</v>
      </c>
      <c r="Y7" t="s">
        <v>1789</v>
      </c>
    </row>
    <row r="8" spans="1:25">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111</v>
      </c>
      <c r="R8" t="s">
        <v>1789</v>
      </c>
      <c r="S8">
        <f>'2'!D18</f>
        <v>0</v>
      </c>
      <c r="T8" t="s">
        <v>1788</v>
      </c>
      <c r="U8">
        <f>'2'!G18</f>
        <v>0</v>
      </c>
      <c r="V8">
        <f>'2'!H18</f>
        <v>0</v>
      </c>
      <c r="W8">
        <f>'2'!I18</f>
        <v>0</v>
      </c>
      <c r="X8">
        <f>'2'!M18</f>
        <v>0</v>
      </c>
      <c r="Y8" t="s">
        <v>1789</v>
      </c>
    </row>
    <row r="9" spans="1:25">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111</v>
      </c>
      <c r="R9" t="s">
        <v>1789</v>
      </c>
      <c r="S9">
        <f>'2'!D19</f>
        <v>0</v>
      </c>
      <c r="T9" t="s">
        <v>1788</v>
      </c>
      <c r="U9">
        <f>'2'!G19</f>
        <v>0</v>
      </c>
      <c r="V9">
        <f>'2'!H19</f>
        <v>0</v>
      </c>
      <c r="W9">
        <f>'2'!I19</f>
        <v>0</v>
      </c>
      <c r="X9">
        <f>'2'!M19</f>
        <v>0</v>
      </c>
      <c r="Y9" t="s">
        <v>1789</v>
      </c>
    </row>
    <row r="10" spans="1:25">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111</v>
      </c>
      <c r="R10" t="s">
        <v>1789</v>
      </c>
      <c r="S10">
        <f>'2'!D20</f>
        <v>0</v>
      </c>
      <c r="T10" t="s">
        <v>1788</v>
      </c>
      <c r="U10">
        <f>'2'!G20</f>
        <v>0</v>
      </c>
      <c r="V10">
        <f>'2'!H20</f>
        <v>0</v>
      </c>
      <c r="W10">
        <f>'2'!I20</f>
        <v>0</v>
      </c>
      <c r="X10">
        <f>'2'!M20</f>
        <v>0</v>
      </c>
      <c r="Y10" t="s">
        <v>1789</v>
      </c>
    </row>
    <row r="11" spans="1:25">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111</v>
      </c>
      <c r="R11" t="s">
        <v>1789</v>
      </c>
      <c r="S11">
        <f>'2'!D21</f>
        <v>0</v>
      </c>
      <c r="T11" t="s">
        <v>1788</v>
      </c>
      <c r="U11">
        <f>'2'!G21</f>
        <v>0</v>
      </c>
      <c r="V11">
        <f>'2'!H21</f>
        <v>0</v>
      </c>
      <c r="W11">
        <f>'2'!I21</f>
        <v>0</v>
      </c>
      <c r="X11">
        <f>'2'!M21</f>
        <v>0</v>
      </c>
      <c r="Y11" t="s">
        <v>1789</v>
      </c>
    </row>
    <row r="12" spans="1:25">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111</v>
      </c>
      <c r="R12" t="s">
        <v>1789</v>
      </c>
      <c r="S12">
        <f>'2'!D22</f>
        <v>0</v>
      </c>
      <c r="T12" t="s">
        <v>1788</v>
      </c>
      <c r="U12">
        <f>'2'!G22</f>
        <v>0</v>
      </c>
      <c r="V12">
        <f>'2'!H22</f>
        <v>0</v>
      </c>
      <c r="W12">
        <f>'2'!I22</f>
        <v>0</v>
      </c>
      <c r="X12">
        <f>'2'!M22</f>
        <v>0</v>
      </c>
      <c r="Y12" t="s">
        <v>1789</v>
      </c>
    </row>
    <row r="13" spans="1:25">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111</v>
      </c>
      <c r="R13" t="s">
        <v>1789</v>
      </c>
      <c r="S13">
        <f>'2'!D23</f>
        <v>0</v>
      </c>
      <c r="T13" t="s">
        <v>1788</v>
      </c>
      <c r="U13">
        <f>'2'!G23</f>
        <v>0</v>
      </c>
      <c r="V13">
        <f>'2'!H23</f>
        <v>0</v>
      </c>
      <c r="W13">
        <f>'2'!I23</f>
        <v>0</v>
      </c>
      <c r="X13">
        <f>'2'!M23</f>
        <v>0</v>
      </c>
      <c r="Y13" t="s">
        <v>1789</v>
      </c>
    </row>
    <row r="14" spans="1:25">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111</v>
      </c>
      <c r="R14" t="s">
        <v>1789</v>
      </c>
      <c r="S14">
        <f>'2'!D24</f>
        <v>0</v>
      </c>
      <c r="T14" t="s">
        <v>1788</v>
      </c>
      <c r="U14">
        <f>'2'!G24</f>
        <v>0</v>
      </c>
      <c r="V14">
        <f>'2'!H24</f>
        <v>0</v>
      </c>
      <c r="W14">
        <f>'2'!I24</f>
        <v>0</v>
      </c>
      <c r="X14">
        <f>'2'!M24</f>
        <v>0</v>
      </c>
      <c r="Y14" t="s">
        <v>1789</v>
      </c>
    </row>
    <row r="15" spans="1:25">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111</v>
      </c>
      <c r="R15" t="s">
        <v>1789</v>
      </c>
      <c r="S15">
        <f>'2'!D25</f>
        <v>0</v>
      </c>
      <c r="T15" t="s">
        <v>1788</v>
      </c>
      <c r="U15">
        <f>'2'!G25</f>
        <v>0</v>
      </c>
      <c r="V15">
        <f>'2'!H25</f>
        <v>0</v>
      </c>
      <c r="W15">
        <f>'2'!I25</f>
        <v>0</v>
      </c>
      <c r="X15">
        <f>'2'!M25</f>
        <v>0</v>
      </c>
      <c r="Y15" t="s">
        <v>1789</v>
      </c>
    </row>
    <row r="16" spans="1:25">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111</v>
      </c>
      <c r="R16" t="s">
        <v>1789</v>
      </c>
      <c r="S16">
        <f>'2'!D26</f>
        <v>0</v>
      </c>
      <c r="T16" t="s">
        <v>1788</v>
      </c>
      <c r="U16">
        <f>'2'!G26</f>
        <v>0</v>
      </c>
      <c r="V16">
        <f>'2'!H26</f>
        <v>0</v>
      </c>
      <c r="W16">
        <f>'2'!I26</f>
        <v>0</v>
      </c>
      <c r="X16">
        <f>'2'!M26</f>
        <v>0</v>
      </c>
      <c r="Y16" t="s">
        <v>1789</v>
      </c>
    </row>
    <row r="17" spans="1:25">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111</v>
      </c>
      <c r="R17" t="s">
        <v>1789</v>
      </c>
      <c r="S17">
        <f>'2'!D27</f>
        <v>0</v>
      </c>
      <c r="T17" t="s">
        <v>1788</v>
      </c>
      <c r="U17">
        <f>'2'!G27</f>
        <v>0</v>
      </c>
      <c r="V17">
        <f>'2'!H27</f>
        <v>0</v>
      </c>
      <c r="W17">
        <f>'2'!I27</f>
        <v>0</v>
      </c>
      <c r="X17">
        <f>'2'!M27</f>
        <v>0</v>
      </c>
      <c r="Y17" t="s">
        <v>1789</v>
      </c>
    </row>
    <row r="18" spans="1:25">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111</v>
      </c>
      <c r="R18" t="s">
        <v>1789</v>
      </c>
      <c r="S18">
        <f>'2'!D28</f>
        <v>0</v>
      </c>
      <c r="T18" t="s">
        <v>1788</v>
      </c>
      <c r="U18">
        <f>'2'!G28</f>
        <v>0</v>
      </c>
      <c r="V18">
        <f>'2'!H28</f>
        <v>0</v>
      </c>
      <c r="W18">
        <f>'2'!I28</f>
        <v>0</v>
      </c>
      <c r="X18">
        <f>'2'!M28</f>
        <v>0</v>
      </c>
      <c r="Y18" t="s">
        <v>1789</v>
      </c>
    </row>
    <row r="19" spans="1:25">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
        <v>111</v>
      </c>
      <c r="R19" t="s">
        <v>1789</v>
      </c>
      <c r="S19">
        <f>'2'!D29</f>
        <v>0</v>
      </c>
      <c r="T19" t="s">
        <v>1788</v>
      </c>
      <c r="U19">
        <f>'2'!G29</f>
        <v>0</v>
      </c>
      <c r="V19">
        <f>'2'!H29</f>
        <v>0</v>
      </c>
      <c r="W19">
        <f>'2'!I29</f>
        <v>0</v>
      </c>
      <c r="X19">
        <f>'2'!M29</f>
        <v>0</v>
      </c>
      <c r="Y19" t="s">
        <v>1789</v>
      </c>
    </row>
    <row r="20" spans="1:25">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t="s">
        <v>111</v>
      </c>
      <c r="R20" t="s">
        <v>1789</v>
      </c>
      <c r="S20">
        <f>'2'!D30</f>
        <v>0</v>
      </c>
      <c r="T20" t="s">
        <v>1788</v>
      </c>
      <c r="U20">
        <f>'2'!G30</f>
        <v>0</v>
      </c>
      <c r="V20">
        <f>'2'!H30</f>
        <v>0</v>
      </c>
      <c r="W20">
        <f>'2'!I30</f>
        <v>0</v>
      </c>
      <c r="X20">
        <f>'2'!M30</f>
        <v>0</v>
      </c>
      <c r="Y20" t="s">
        <v>1789</v>
      </c>
    </row>
    <row r="21" spans="1:25">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t="s">
        <v>111</v>
      </c>
      <c r="R21" t="s">
        <v>1789</v>
      </c>
      <c r="S21">
        <f>'2'!D31</f>
        <v>0</v>
      </c>
      <c r="T21" t="s">
        <v>1788</v>
      </c>
      <c r="U21">
        <f>'2'!G31</f>
        <v>0</v>
      </c>
      <c r="V21">
        <f>'2'!H31</f>
        <v>0</v>
      </c>
      <c r="W21">
        <f>'2'!I31</f>
        <v>0</v>
      </c>
      <c r="X21">
        <f>'2'!M31</f>
        <v>0</v>
      </c>
      <c r="Y21" t="s">
        <v>1789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81"/>
  <sheetViews>
    <sheetView zoomScale="85" zoomScaleNormal="85" workbookViewId="0">
      <selection activeCell="A2" sqref="A2:P2"/>
    </sheetView>
  </sheetViews>
  <sheetFormatPr defaultRowHeight="15"/>
  <sheetData>
    <row r="1" spans="1:75">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1461</v>
      </c>
      <c r="R1" t="s">
        <v>1460</v>
      </c>
      <c r="S1" t="s">
        <v>1476</v>
      </c>
      <c r="T1" t="s">
        <v>1475</v>
      </c>
      <c r="U1" t="s">
        <v>1471</v>
      </c>
      <c r="V1" t="s">
        <v>1470</v>
      </c>
      <c r="W1" t="s">
        <v>1478</v>
      </c>
      <c r="X1" t="s">
        <v>1477</v>
      </c>
      <c r="Y1" t="s">
        <v>1469</v>
      </c>
      <c r="Z1" t="s">
        <v>1468</v>
      </c>
      <c r="AA1" t="s">
        <v>1465</v>
      </c>
      <c r="AB1" t="s">
        <v>1464</v>
      </c>
      <c r="AC1" t="s">
        <v>1467</v>
      </c>
      <c r="AD1" t="s">
        <v>1466</v>
      </c>
      <c r="AE1" t="s">
        <v>1463</v>
      </c>
      <c r="AF1" t="s">
        <v>1462</v>
      </c>
      <c r="AG1" t="s">
        <v>1473</v>
      </c>
      <c r="AH1" t="s">
        <v>1474</v>
      </c>
      <c r="AI1" t="s">
        <v>1472</v>
      </c>
      <c r="AJ1" t="s">
        <v>1479</v>
      </c>
      <c r="AK1" t="s">
        <v>1489</v>
      </c>
      <c r="AL1" t="s">
        <v>1488</v>
      </c>
      <c r="AM1" t="s">
        <v>1483</v>
      </c>
      <c r="AN1" t="s">
        <v>1482</v>
      </c>
      <c r="AO1" t="s">
        <v>1491</v>
      </c>
      <c r="AP1" t="s">
        <v>1490</v>
      </c>
      <c r="AQ1" t="s">
        <v>1485</v>
      </c>
      <c r="AR1" t="s">
        <v>1484</v>
      </c>
      <c r="AS1" t="s">
        <v>1511</v>
      </c>
      <c r="AT1" t="s">
        <v>1510</v>
      </c>
      <c r="AU1" t="s">
        <v>1505</v>
      </c>
      <c r="AV1" t="s">
        <v>1504</v>
      </c>
      <c r="AW1" t="s">
        <v>1509</v>
      </c>
      <c r="AX1" t="s">
        <v>1508</v>
      </c>
      <c r="AY1" t="s">
        <v>1487</v>
      </c>
      <c r="AZ1" t="s">
        <v>1486</v>
      </c>
      <c r="BA1" t="s">
        <v>1501</v>
      </c>
      <c r="BB1" t="s">
        <v>1500</v>
      </c>
      <c r="BC1" t="s">
        <v>1503</v>
      </c>
      <c r="BD1" t="s">
        <v>1502</v>
      </c>
      <c r="BE1" t="s">
        <v>1499</v>
      </c>
      <c r="BF1" t="s">
        <v>1498</v>
      </c>
      <c r="BG1" t="s">
        <v>1513</v>
      </c>
      <c r="BH1" t="s">
        <v>1512</v>
      </c>
      <c r="BI1" t="s">
        <v>1515</v>
      </c>
      <c r="BJ1" t="s">
        <v>1514</v>
      </c>
      <c r="BK1" t="s">
        <v>1481</v>
      </c>
      <c r="BL1" t="s">
        <v>1480</v>
      </c>
      <c r="BM1" t="s">
        <v>1507</v>
      </c>
      <c r="BN1" t="s">
        <v>1506</v>
      </c>
      <c r="BO1" t="s">
        <v>1517</v>
      </c>
      <c r="BP1" t="s">
        <v>1516</v>
      </c>
      <c r="BQ1" t="s">
        <v>1494</v>
      </c>
      <c r="BR1" t="s">
        <v>1493</v>
      </c>
      <c r="BS1" t="s">
        <v>1492</v>
      </c>
      <c r="BT1" t="s">
        <v>1497</v>
      </c>
      <c r="BU1" t="s">
        <v>1496</v>
      </c>
      <c r="BV1" t="s">
        <v>1495</v>
      </c>
      <c r="BW1" t="s">
        <v>1518</v>
      </c>
    </row>
    <row r="2" spans="1:75">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Q3a_A_BusOp_Method</f>
        <v>0</v>
      </c>
      <c r="R2">
        <f>Q3a_A_BusOp_Explain</f>
        <v>0</v>
      </c>
      <c r="S2">
        <f>Q3a_B_Reject_RunSize_YN</f>
        <v>0</v>
      </c>
      <c r="T2">
        <f>Q3a_B_Reject_RunSize_Explain</f>
        <v>0</v>
      </c>
      <c r="U2">
        <f>Q3a_B_Reject_Freq_YN</f>
        <v>0</v>
      </c>
      <c r="V2">
        <f>Q3a_B_Reject_Freq_Explain</f>
        <v>0</v>
      </c>
      <c r="W2">
        <f>Q3a_B_Reject_Value_YN</f>
        <v>0</v>
      </c>
      <c r="X2">
        <f>Q3a_B_Reject_Value_Explain</f>
        <v>0</v>
      </c>
      <c r="Y2">
        <f>Q3a_B_Reject_DollarRecur_YN</f>
        <v>0</v>
      </c>
      <c r="Z2">
        <f>Q3a_B_Reject_DollarRecur_Explain</f>
        <v>0</v>
      </c>
      <c r="AA2">
        <f>Q3a_B_Reject_Complex_YN</f>
        <v>0</v>
      </c>
      <c r="AB2">
        <f>Q3a_B_Reject_Complex_Explain</f>
        <v>0</v>
      </c>
      <c r="AC2">
        <f>Q3a_B_Reject_Credit_YN</f>
        <v>0</v>
      </c>
      <c r="AD2">
        <f>Q3a_B_Reject_Credit_Explain</f>
        <v>0</v>
      </c>
      <c r="AE2">
        <f>Q3a_B_Reject_Busy_YN</f>
        <v>0</v>
      </c>
      <c r="AF2">
        <f>Q3a_B_Reject_Busy_Explain</f>
        <v>0</v>
      </c>
      <c r="AG2" t="str">
        <f>Q3a_B_Reject_Other_Specify</f>
        <v>(specify here)</v>
      </c>
      <c r="AH2">
        <f>Q3a_B_Reject_Other_YN</f>
        <v>0</v>
      </c>
      <c r="AI2">
        <f>Q3a_B_Reject_Other_Explain</f>
        <v>0</v>
      </c>
      <c r="AJ2">
        <f>Q3a_Comment</f>
        <v>0</v>
      </c>
      <c r="AK2">
        <f>Q3b_A_Labor_Loc</f>
        <v>0</v>
      </c>
      <c r="AL2">
        <f>Q3b_A_Labor_Explain</f>
        <v>0</v>
      </c>
      <c r="AM2">
        <f>Q3b_A_Enviro_Loc</f>
        <v>0</v>
      </c>
      <c r="AN2">
        <f>Q3b_A_Enviro_Explain</f>
        <v>0</v>
      </c>
      <c r="AO2">
        <f>Q3b_A_Material_Loc</f>
        <v>0</v>
      </c>
      <c r="AP2">
        <f>Q3b_A_Material_Explain</f>
        <v>0</v>
      </c>
      <c r="AQ2">
        <f>Q3b_A_Equip_Loc</f>
        <v>0</v>
      </c>
      <c r="AR2">
        <f>Q3b_A_Equip_Explain</f>
        <v>0</v>
      </c>
      <c r="AS2">
        <f>Q3b_A_Space_Loc</f>
        <v>0</v>
      </c>
      <c r="AT2">
        <f>Q3b_A_Space_Explain</f>
        <v>0</v>
      </c>
      <c r="AU2">
        <f>Q3b_A_RD_Loc</f>
        <v>0</v>
      </c>
      <c r="AV2">
        <f>Q3b_A_RD_Explain</f>
        <v>0</v>
      </c>
      <c r="AW2">
        <f>Q3b_A_Skilled_Loc</f>
        <v>0</v>
      </c>
      <c r="AX2">
        <f>Q3b_A_Skilled_Explain</f>
        <v>0</v>
      </c>
      <c r="AY2">
        <f>Q3b_A_Export_Loc</f>
        <v>0</v>
      </c>
      <c r="AZ2">
        <f>Q3b_A_Export_Explain</f>
        <v>0</v>
      </c>
      <c r="BA2">
        <f>Q3b_A_Price_Loc</f>
        <v>0</v>
      </c>
      <c r="BB2">
        <f>Q3b_A_Price_Explain</f>
        <v>0</v>
      </c>
      <c r="BC2">
        <f>Q3b_A_Quality_Loc</f>
        <v>0</v>
      </c>
      <c r="BD2">
        <f>Q3b_A_Quality_Explain</f>
        <v>0</v>
      </c>
      <c r="BE2">
        <f>Q3b_A_Perform_Loc</f>
        <v>0</v>
      </c>
      <c r="BF2">
        <f>Q3b_A_Perform_Explain</f>
        <v>0</v>
      </c>
      <c r="BG2">
        <f>Q3b_A_Time_Loc</f>
        <v>0</v>
      </c>
      <c r="BH2">
        <f>Q3b_A_Time_Explain</f>
        <v>0</v>
      </c>
      <c r="BI2">
        <f>Q3b_A_Variability_Loc</f>
        <v>0</v>
      </c>
      <c r="BJ2">
        <f>Q3b_A_Variability_Explain</f>
        <v>0</v>
      </c>
      <c r="BK2">
        <f>Q3b_A_Cost_Loc</f>
        <v>0</v>
      </c>
      <c r="BL2">
        <f>Q3b_A_Cost_Explain</f>
        <v>0</v>
      </c>
      <c r="BM2">
        <f>Q3b_A_Safety_Loc</f>
        <v>0</v>
      </c>
      <c r="BN2">
        <f>Q3b_A_Safety_Explain</f>
        <v>0</v>
      </c>
      <c r="BO2">
        <f>Q3b_A_Yield_Loc</f>
        <v>0</v>
      </c>
      <c r="BP2">
        <f>Q3b_A_Yield_Explain</f>
        <v>0</v>
      </c>
      <c r="BQ2" t="str">
        <f>Q3b_A_Other1_Specify</f>
        <v>(specify here)</v>
      </c>
      <c r="BR2">
        <f>Q3b_A_Other1_Loc</f>
        <v>0</v>
      </c>
      <c r="BS2">
        <f>Q3b_A_Other1_Explain</f>
        <v>0</v>
      </c>
      <c r="BT2" t="str">
        <f>Q3b_A_Other2_Specify</f>
        <v>(specify here)</v>
      </c>
      <c r="BU2">
        <f>Q3b_A_Other2_Loc</f>
        <v>0</v>
      </c>
      <c r="BV2">
        <f>Q3b_A_Other2_Explain</f>
        <v>0</v>
      </c>
      <c r="BW2">
        <f>Q3b_Comment</f>
        <v>0</v>
      </c>
    </row>
    <row r="23" spans="29:29">
      <c r="AC23" s="588"/>
    </row>
    <row r="24" spans="29:29">
      <c r="AC24" s="588"/>
    </row>
    <row r="25" spans="29:29">
      <c r="AC25" s="588"/>
    </row>
    <row r="26" spans="29:29">
      <c r="AC26" s="588"/>
    </row>
    <row r="27" spans="29:29">
      <c r="AC27" s="588"/>
    </row>
    <row r="28" spans="29:29">
      <c r="AC28" s="588"/>
    </row>
    <row r="29" spans="29:29">
      <c r="AC29" s="588"/>
    </row>
    <row r="30" spans="29:29">
      <c r="AC30" s="588"/>
    </row>
    <row r="31" spans="29:29">
      <c r="AC31" s="588"/>
    </row>
    <row r="32" spans="29:29">
      <c r="AC32" s="588"/>
    </row>
    <row r="33" spans="29:29">
      <c r="AC33" s="588"/>
    </row>
    <row r="34" spans="29:29">
      <c r="AC34" s="588"/>
    </row>
    <row r="35" spans="29:29">
      <c r="AC35" s="588"/>
    </row>
    <row r="36" spans="29:29">
      <c r="AC36" s="588"/>
    </row>
    <row r="37" spans="29:29">
      <c r="AC37" s="588"/>
    </row>
    <row r="38" spans="29:29">
      <c r="AC38" s="588"/>
    </row>
    <row r="39" spans="29:29">
      <c r="AC39" s="588"/>
    </row>
    <row r="40" spans="29:29">
      <c r="AC40" s="588"/>
    </row>
    <row r="41" spans="29:29">
      <c r="AC41" s="588"/>
    </row>
    <row r="42" spans="29:29">
      <c r="AC42" s="588"/>
    </row>
    <row r="43" spans="29:29">
      <c r="AC43" s="588"/>
    </row>
    <row r="44" spans="29:29">
      <c r="AC44" s="588"/>
    </row>
    <row r="45" spans="29:29">
      <c r="AC45" s="588"/>
    </row>
    <row r="46" spans="29:29">
      <c r="AC46" s="588"/>
    </row>
    <row r="47" spans="29:29">
      <c r="AC47" s="588"/>
    </row>
    <row r="48" spans="29:29">
      <c r="AC48" s="588"/>
    </row>
    <row r="49" spans="29:29">
      <c r="AC49" s="588"/>
    </row>
    <row r="50" spans="29:29">
      <c r="AC50" s="588"/>
    </row>
    <row r="51" spans="29:29">
      <c r="AC51" s="588"/>
    </row>
    <row r="52" spans="29:29">
      <c r="AC52" s="588"/>
    </row>
    <row r="53" spans="29:29">
      <c r="AC53" s="588"/>
    </row>
    <row r="54" spans="29:29">
      <c r="AC54" s="588"/>
    </row>
    <row r="55" spans="29:29">
      <c r="AC55" s="588"/>
    </row>
    <row r="56" spans="29:29">
      <c r="AC56" s="588"/>
    </row>
    <row r="57" spans="29:29">
      <c r="AC57" s="588"/>
    </row>
    <row r="58" spans="29:29">
      <c r="AC58" s="588"/>
    </row>
    <row r="59" spans="29:29">
      <c r="AC59" s="588"/>
    </row>
    <row r="60" spans="29:29">
      <c r="AC60" s="588"/>
    </row>
    <row r="61" spans="29:29">
      <c r="AC61" s="588"/>
    </row>
    <row r="62" spans="29:29">
      <c r="AC62" s="588"/>
    </row>
    <row r="63" spans="29:29">
      <c r="AC63" s="588"/>
    </row>
    <row r="64" spans="29:29">
      <c r="AC64" s="588"/>
    </row>
    <row r="65" spans="29:29">
      <c r="AC65" s="588"/>
    </row>
    <row r="66" spans="29:29">
      <c r="AC66" s="588"/>
    </row>
    <row r="67" spans="29:29">
      <c r="AC67" s="588"/>
    </row>
    <row r="68" spans="29:29">
      <c r="AC68" s="588"/>
    </row>
    <row r="69" spans="29:29">
      <c r="AC69" s="588"/>
    </row>
    <row r="70" spans="29:29">
      <c r="AC70" s="588"/>
    </row>
    <row r="71" spans="29:29">
      <c r="AC71" s="588"/>
    </row>
    <row r="72" spans="29:29">
      <c r="AC72" s="588"/>
    </row>
    <row r="73" spans="29:29">
      <c r="AC73" s="588"/>
    </row>
    <row r="74" spans="29:29">
      <c r="AC74" s="588"/>
    </row>
    <row r="75" spans="29:29">
      <c r="AC75" s="588"/>
    </row>
    <row r="76" spans="29:29">
      <c r="AC76" s="588"/>
    </row>
    <row r="77" spans="29:29">
      <c r="AC77" s="588"/>
    </row>
    <row r="78" spans="29:29">
      <c r="AC78" s="588"/>
    </row>
    <row r="79" spans="29:29">
      <c r="AC79" s="588"/>
    </row>
    <row r="80" spans="29:29">
      <c r="AC80" s="588"/>
    </row>
    <row r="81" spans="29:29">
      <c r="AC81" s="588"/>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zoomScale="85" zoomScaleNormal="85" workbookViewId="0">
      <selection activeCell="A2" sqref="A2:P2"/>
    </sheetView>
  </sheetViews>
  <sheetFormatPr defaultRowHeight="15"/>
  <sheetData>
    <row r="1" spans="1:24" ht="15" customHeight="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1791</v>
      </c>
      <c r="R1" t="s">
        <v>45</v>
      </c>
      <c r="S1" t="s">
        <v>1796</v>
      </c>
      <c r="T1" t="s">
        <v>1797</v>
      </c>
      <c r="U1" t="s">
        <v>37</v>
      </c>
      <c r="V1" t="s">
        <v>1798</v>
      </c>
      <c r="W1" t="s">
        <v>1800</v>
      </c>
      <c r="X1" t="s">
        <v>1799</v>
      </c>
    </row>
    <row r="2" spans="1:24">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1792</v>
      </c>
      <c r="R2">
        <f>'3a'!C20</f>
        <v>0</v>
      </c>
      <c r="S2">
        <f>'3a'!E20</f>
        <v>0</v>
      </c>
      <c r="T2">
        <f>'3a'!F20</f>
        <v>0</v>
      </c>
      <c r="U2">
        <f>'3a'!G20</f>
        <v>0</v>
      </c>
      <c r="V2">
        <f>'3a'!H20</f>
        <v>0</v>
      </c>
      <c r="W2" t="s">
        <v>429</v>
      </c>
      <c r="X2" t="s">
        <v>429</v>
      </c>
    </row>
    <row r="3" spans="1:24">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1792</v>
      </c>
      <c r="R3">
        <f>'3a'!C21</f>
        <v>0</v>
      </c>
      <c r="S3">
        <f>'3a'!E21</f>
        <v>0</v>
      </c>
      <c r="T3">
        <f>'3a'!F21</f>
        <v>0</v>
      </c>
      <c r="U3">
        <f>'3a'!G21</f>
        <v>0</v>
      </c>
      <c r="V3">
        <f>'3a'!H21</f>
        <v>0</v>
      </c>
      <c r="W3" t="s">
        <v>429</v>
      </c>
      <c r="X3" t="s">
        <v>429</v>
      </c>
    </row>
    <row r="4" spans="1:24">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1792</v>
      </c>
      <c r="R4">
        <f>'3a'!C22</f>
        <v>0</v>
      </c>
      <c r="S4">
        <f>'3a'!E22</f>
        <v>0</v>
      </c>
      <c r="T4">
        <f>'3a'!F22</f>
        <v>0</v>
      </c>
      <c r="U4">
        <f>'3a'!G22</f>
        <v>0</v>
      </c>
      <c r="V4">
        <f>'3a'!H22</f>
        <v>0</v>
      </c>
      <c r="W4" t="s">
        <v>429</v>
      </c>
      <c r="X4" t="s">
        <v>429</v>
      </c>
    </row>
    <row r="5" spans="1:24">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1792</v>
      </c>
      <c r="R5">
        <f>'3a'!C23</f>
        <v>0</v>
      </c>
      <c r="S5">
        <f>'3a'!E23</f>
        <v>0</v>
      </c>
      <c r="T5">
        <f>'3a'!F23</f>
        <v>0</v>
      </c>
      <c r="U5">
        <f>'3a'!G23</f>
        <v>0</v>
      </c>
      <c r="V5">
        <f>'3a'!H23</f>
        <v>0</v>
      </c>
      <c r="W5" t="s">
        <v>429</v>
      </c>
      <c r="X5" t="s">
        <v>429</v>
      </c>
    </row>
    <row r="6" spans="1:24">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1792</v>
      </c>
      <c r="R6">
        <f>'3a'!C24</f>
        <v>0</v>
      </c>
      <c r="S6">
        <f>'3a'!E24</f>
        <v>0</v>
      </c>
      <c r="T6">
        <f>'3a'!F24</f>
        <v>0</v>
      </c>
      <c r="U6">
        <f>'3a'!G24</f>
        <v>0</v>
      </c>
      <c r="V6">
        <f>'3a'!H24</f>
        <v>0</v>
      </c>
      <c r="W6" t="s">
        <v>429</v>
      </c>
      <c r="X6" t="s">
        <v>429</v>
      </c>
    </row>
    <row r="7" spans="1:24">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1793</v>
      </c>
      <c r="R7">
        <f>'3a'!C28</f>
        <v>0</v>
      </c>
      <c r="S7">
        <f>'3a'!E28</f>
        <v>0</v>
      </c>
      <c r="T7">
        <f>'3a'!F28</f>
        <v>0</v>
      </c>
      <c r="U7">
        <f>'3a'!G28</f>
        <v>0</v>
      </c>
      <c r="V7">
        <f>'3a'!H28</f>
        <v>0</v>
      </c>
      <c r="W7" t="s">
        <v>429</v>
      </c>
      <c r="X7" t="s">
        <v>429</v>
      </c>
    </row>
    <row r="8" spans="1:24">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1793</v>
      </c>
      <c r="R8">
        <f>'3a'!C29</f>
        <v>0</v>
      </c>
      <c r="S8">
        <f>'3a'!E29</f>
        <v>0</v>
      </c>
      <c r="T8">
        <f>'3a'!F29</f>
        <v>0</v>
      </c>
      <c r="U8">
        <f>'3a'!G29</f>
        <v>0</v>
      </c>
      <c r="V8">
        <f>'3a'!H29</f>
        <v>0</v>
      </c>
      <c r="W8" t="s">
        <v>429</v>
      </c>
      <c r="X8" t="s">
        <v>429</v>
      </c>
    </row>
    <row r="9" spans="1:24">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1793</v>
      </c>
      <c r="R9">
        <f>'3a'!C30</f>
        <v>0</v>
      </c>
      <c r="S9">
        <f>'3a'!E30</f>
        <v>0</v>
      </c>
      <c r="T9">
        <f>'3a'!F30</f>
        <v>0</v>
      </c>
      <c r="U9">
        <f>'3a'!G30</f>
        <v>0</v>
      </c>
      <c r="V9">
        <f>'3a'!H30</f>
        <v>0</v>
      </c>
      <c r="W9" t="s">
        <v>429</v>
      </c>
      <c r="X9" t="s">
        <v>429</v>
      </c>
    </row>
    <row r="10" spans="1:24">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1793</v>
      </c>
      <c r="R10">
        <f>'3a'!C31</f>
        <v>0</v>
      </c>
      <c r="S10">
        <f>'3a'!E31</f>
        <v>0</v>
      </c>
      <c r="T10">
        <f>'3a'!F31</f>
        <v>0</v>
      </c>
      <c r="U10">
        <f>'3a'!G31</f>
        <v>0</v>
      </c>
      <c r="V10">
        <f>'3a'!H31</f>
        <v>0</v>
      </c>
      <c r="W10" t="s">
        <v>429</v>
      </c>
      <c r="X10" t="s">
        <v>429</v>
      </c>
    </row>
    <row r="11" spans="1:24">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1793</v>
      </c>
      <c r="R11">
        <f>'3a'!C32</f>
        <v>0</v>
      </c>
      <c r="S11">
        <f>'3a'!E32</f>
        <v>0</v>
      </c>
      <c r="T11">
        <f>'3a'!F32</f>
        <v>0</v>
      </c>
      <c r="U11">
        <f>'3a'!G32</f>
        <v>0</v>
      </c>
      <c r="V11">
        <f>'3a'!H32</f>
        <v>0</v>
      </c>
      <c r="W11" t="s">
        <v>429</v>
      </c>
      <c r="X11" t="s">
        <v>429</v>
      </c>
    </row>
    <row r="12" spans="1:24">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1794</v>
      </c>
      <c r="R12">
        <f>'3b'!D27</f>
        <v>0</v>
      </c>
      <c r="S12" t="s">
        <v>429</v>
      </c>
      <c r="T12" t="s">
        <v>429</v>
      </c>
      <c r="U12" t="s">
        <v>429</v>
      </c>
      <c r="V12">
        <f>'3b'!F27</f>
        <v>0</v>
      </c>
      <c r="W12">
        <f>'3b'!G27</f>
        <v>0</v>
      </c>
      <c r="X12">
        <f>'3b'!I27</f>
        <v>0</v>
      </c>
    </row>
    <row r="13" spans="1:24">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1794</v>
      </c>
      <c r="R13">
        <f>'3b'!D28</f>
        <v>0</v>
      </c>
      <c r="S13" t="s">
        <v>429</v>
      </c>
      <c r="T13" t="s">
        <v>429</v>
      </c>
      <c r="U13" t="s">
        <v>429</v>
      </c>
      <c r="V13">
        <f>'3b'!F28</f>
        <v>0</v>
      </c>
      <c r="W13">
        <f>'3b'!G28</f>
        <v>0</v>
      </c>
      <c r="X13">
        <f>'3b'!I28</f>
        <v>0</v>
      </c>
    </row>
    <row r="14" spans="1:24">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1794</v>
      </c>
      <c r="R14">
        <f>'3b'!D29</f>
        <v>0</v>
      </c>
      <c r="S14" t="s">
        <v>429</v>
      </c>
      <c r="T14" t="s">
        <v>429</v>
      </c>
      <c r="U14" t="s">
        <v>429</v>
      </c>
      <c r="V14">
        <f>'3b'!F29</f>
        <v>0</v>
      </c>
      <c r="W14">
        <f>'3b'!G29</f>
        <v>0</v>
      </c>
      <c r="X14">
        <f>'3b'!I29</f>
        <v>0</v>
      </c>
    </row>
    <row r="15" spans="1:24">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1794</v>
      </c>
      <c r="R15">
        <f>'3b'!D30</f>
        <v>0</v>
      </c>
      <c r="S15" t="s">
        <v>429</v>
      </c>
      <c r="T15" t="s">
        <v>429</v>
      </c>
      <c r="U15" t="s">
        <v>429</v>
      </c>
      <c r="V15">
        <f>'3b'!F30</f>
        <v>0</v>
      </c>
      <c r="W15">
        <f>'3b'!G30</f>
        <v>0</v>
      </c>
      <c r="X15">
        <f>'3b'!I30</f>
        <v>0</v>
      </c>
    </row>
    <row r="16" spans="1:24">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1794</v>
      </c>
      <c r="R16">
        <f>'3b'!D31</f>
        <v>0</v>
      </c>
      <c r="S16" t="s">
        <v>429</v>
      </c>
      <c r="T16" t="s">
        <v>429</v>
      </c>
      <c r="U16" t="s">
        <v>429</v>
      </c>
      <c r="V16">
        <f>'3b'!F31</f>
        <v>0</v>
      </c>
      <c r="W16">
        <f>'3b'!G31</f>
        <v>0</v>
      </c>
      <c r="X16">
        <f>'3b'!I31</f>
        <v>0</v>
      </c>
    </row>
    <row r="17" spans="1:24">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1795</v>
      </c>
      <c r="R17">
        <f>'3b'!D34</f>
        <v>0</v>
      </c>
      <c r="S17" t="s">
        <v>429</v>
      </c>
      <c r="T17" t="s">
        <v>429</v>
      </c>
      <c r="U17" t="s">
        <v>429</v>
      </c>
      <c r="V17">
        <f>'3b'!F34</f>
        <v>0</v>
      </c>
      <c r="W17">
        <f>'3b'!G34</f>
        <v>0</v>
      </c>
      <c r="X17">
        <f>'3b'!I34</f>
        <v>0</v>
      </c>
    </row>
    <row r="18" spans="1:24">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1795</v>
      </c>
      <c r="R18">
        <f>'3b'!D35</f>
        <v>0</v>
      </c>
      <c r="S18" t="s">
        <v>429</v>
      </c>
      <c r="T18" t="s">
        <v>429</v>
      </c>
      <c r="U18" t="s">
        <v>429</v>
      </c>
      <c r="V18">
        <f>'3b'!F35</f>
        <v>0</v>
      </c>
      <c r="W18">
        <f>'3b'!G35</f>
        <v>0</v>
      </c>
      <c r="X18">
        <f>'3b'!I35</f>
        <v>0</v>
      </c>
    </row>
    <row r="19" spans="1:24">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
        <v>1795</v>
      </c>
      <c r="R19">
        <f>'3b'!D36</f>
        <v>0</v>
      </c>
      <c r="S19" t="s">
        <v>429</v>
      </c>
      <c r="T19" t="s">
        <v>429</v>
      </c>
      <c r="U19" t="s">
        <v>429</v>
      </c>
      <c r="V19">
        <f>'3b'!F36</f>
        <v>0</v>
      </c>
      <c r="W19">
        <f>'3b'!G36</f>
        <v>0</v>
      </c>
      <c r="X19">
        <f>'3b'!I36</f>
        <v>0</v>
      </c>
    </row>
    <row r="20" spans="1:24">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t="s">
        <v>1795</v>
      </c>
      <c r="R20">
        <f>'3b'!D37</f>
        <v>0</v>
      </c>
      <c r="S20" t="s">
        <v>429</v>
      </c>
      <c r="T20" t="s">
        <v>429</v>
      </c>
      <c r="U20" t="s">
        <v>429</v>
      </c>
      <c r="V20">
        <f>'3b'!F37</f>
        <v>0</v>
      </c>
      <c r="W20">
        <f>'3b'!G37</f>
        <v>0</v>
      </c>
      <c r="X20">
        <f>'3b'!I37</f>
        <v>0</v>
      </c>
    </row>
    <row r="21" spans="1:24">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t="s">
        <v>1795</v>
      </c>
      <c r="R21">
        <f>'3b'!D38</f>
        <v>0</v>
      </c>
      <c r="S21" t="s">
        <v>429</v>
      </c>
      <c r="T21" t="s">
        <v>429</v>
      </c>
      <c r="U21" t="s">
        <v>429</v>
      </c>
      <c r="V21">
        <f>'3b'!F38</f>
        <v>0</v>
      </c>
      <c r="W21">
        <f>'3b'!G38</f>
        <v>0</v>
      </c>
      <c r="X21">
        <f>'3b'!I38</f>
        <v>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77"/>
  <sheetViews>
    <sheetView zoomScale="85" zoomScaleNormal="85" workbookViewId="0">
      <selection activeCell="A2" sqref="A2:P2"/>
    </sheetView>
  </sheetViews>
  <sheetFormatPr defaultRowHeight="15"/>
  <sheetData>
    <row r="1" spans="1:8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1538</v>
      </c>
      <c r="R1" t="s">
        <v>1519</v>
      </c>
      <c r="S1" t="s">
        <v>1526</v>
      </c>
      <c r="T1" t="s">
        <v>1523</v>
      </c>
      <c r="U1" t="s">
        <v>1522</v>
      </c>
      <c r="V1" t="s">
        <v>1520</v>
      </c>
      <c r="W1" t="s">
        <v>1525</v>
      </c>
      <c r="X1" t="s">
        <v>1527</v>
      </c>
      <c r="Y1" t="s">
        <v>1521</v>
      </c>
      <c r="Z1" t="s">
        <v>1524</v>
      </c>
      <c r="AA1" t="s">
        <v>1528</v>
      </c>
      <c r="AB1" t="s">
        <v>1530</v>
      </c>
      <c r="AC1" t="s">
        <v>1532</v>
      </c>
      <c r="AD1" t="s">
        <v>1534</v>
      </c>
      <c r="AE1" t="s">
        <v>1536</v>
      </c>
      <c r="AF1" t="s">
        <v>1529</v>
      </c>
      <c r="AG1" t="s">
        <v>1531</v>
      </c>
      <c r="AH1" t="s">
        <v>1533</v>
      </c>
      <c r="AI1" t="s">
        <v>1535</v>
      </c>
      <c r="AJ1" t="s">
        <v>1537</v>
      </c>
      <c r="AK1" t="s">
        <v>1540</v>
      </c>
      <c r="AL1" t="s">
        <v>1539</v>
      </c>
      <c r="AM1" t="s">
        <v>1541</v>
      </c>
      <c r="AN1" t="s">
        <v>1801</v>
      </c>
      <c r="AO1" t="s">
        <v>1802</v>
      </c>
      <c r="AP1" t="s">
        <v>1803</v>
      </c>
      <c r="AQ1" t="s">
        <v>1542</v>
      </c>
      <c r="AR1" t="s">
        <v>1544</v>
      </c>
      <c r="AS1" t="s">
        <v>1543</v>
      </c>
      <c r="AT1" t="s">
        <v>1568</v>
      </c>
      <c r="AU1" t="s">
        <v>1570</v>
      </c>
      <c r="AV1" t="s">
        <v>1569</v>
      </c>
      <c r="AW1" t="s">
        <v>1574</v>
      </c>
      <c r="AX1" t="s">
        <v>1576</v>
      </c>
      <c r="AY1" t="s">
        <v>1575</v>
      </c>
      <c r="AZ1" t="s">
        <v>1545</v>
      </c>
      <c r="BA1" t="s">
        <v>1547</v>
      </c>
      <c r="BB1" t="s">
        <v>1546</v>
      </c>
      <c r="BC1" t="s">
        <v>1577</v>
      </c>
      <c r="BD1" t="s">
        <v>1579</v>
      </c>
      <c r="BE1" t="s">
        <v>1578</v>
      </c>
      <c r="BF1" t="s">
        <v>1571</v>
      </c>
      <c r="BG1" t="s">
        <v>1573</v>
      </c>
      <c r="BH1" t="s">
        <v>1572</v>
      </c>
      <c r="BI1" t="s">
        <v>1557</v>
      </c>
      <c r="BJ1" t="s">
        <v>1559</v>
      </c>
      <c r="BK1" t="s">
        <v>1558</v>
      </c>
      <c r="BL1" t="s">
        <v>1554</v>
      </c>
      <c r="BM1" t="s">
        <v>1556</v>
      </c>
      <c r="BN1" t="s">
        <v>1555</v>
      </c>
      <c r="BO1" t="s">
        <v>1548</v>
      </c>
      <c r="BP1" t="s">
        <v>1550</v>
      </c>
      <c r="BQ1" t="s">
        <v>1549</v>
      </c>
      <c r="BR1" t="s">
        <v>1551</v>
      </c>
      <c r="BS1" t="s">
        <v>1553</v>
      </c>
      <c r="BT1" t="s">
        <v>1552</v>
      </c>
      <c r="BU1" t="s">
        <v>1560</v>
      </c>
      <c r="BV1" t="s">
        <v>1562</v>
      </c>
      <c r="BW1" t="s">
        <v>1561</v>
      </c>
      <c r="BX1" t="s">
        <v>1563</v>
      </c>
      <c r="BY1" t="s">
        <v>1564</v>
      </c>
      <c r="BZ1" t="s">
        <v>1566</v>
      </c>
      <c r="CA1" t="s">
        <v>1565</v>
      </c>
      <c r="CB1" t="s">
        <v>1567</v>
      </c>
      <c r="CC1" t="s">
        <v>1580</v>
      </c>
    </row>
    <row r="2" spans="1:81">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Q4a_A_USAF</f>
        <v>0</v>
      </c>
      <c r="R2">
        <f>Q4a_A_Army</f>
        <v>0</v>
      </c>
      <c r="S2">
        <f>Q4a_A_Navy</f>
        <v>0</v>
      </c>
      <c r="T2">
        <f>Q4a_A_Marines</f>
        <v>0</v>
      </c>
      <c r="U2">
        <f>Q4a_A_Intel</f>
        <v>0</v>
      </c>
      <c r="V2">
        <f>Q4a_A_DHS</f>
        <v>0</v>
      </c>
      <c r="W2">
        <f>Q4a_A_NASA</f>
        <v>0</v>
      </c>
      <c r="X2">
        <f>Q4a_A_NOAA</f>
        <v>0</v>
      </c>
      <c r="Y2">
        <f>Q4a_A_DOE</f>
        <v>0</v>
      </c>
      <c r="Z2">
        <f>Q4a_A_MDA</f>
        <v>0</v>
      </c>
      <c r="AA2">
        <f>Q4a_A_Other1</f>
        <v>0</v>
      </c>
      <c r="AB2">
        <f>Q4a_A_Other2</f>
        <v>0</v>
      </c>
      <c r="AC2">
        <f>Q4a_A_Other3</f>
        <v>0</v>
      </c>
      <c r="AD2">
        <f>Q4a_A_Other4</f>
        <v>0</v>
      </c>
      <c r="AE2">
        <f>Q4a_A_Other5</f>
        <v>0</v>
      </c>
      <c r="AF2" t="str">
        <f>Q4a_A_Other1_Specify</f>
        <v>(select from dropdown)</v>
      </c>
      <c r="AG2" t="str">
        <f>Q4a_A_Other2_Specify</f>
        <v>(select from dropdown)</v>
      </c>
      <c r="AH2" t="str">
        <f>Q4a_A_Other3_Specify</f>
        <v>(select from dropdown)</v>
      </c>
      <c r="AI2" t="str">
        <f>Q4a_A_Other4_Specify</f>
        <v>(specify here)</v>
      </c>
      <c r="AJ2" t="str">
        <f>Q4a_A_Other5_Specify</f>
        <v>(specify here)</v>
      </c>
      <c r="AK2" t="str">
        <f>Q4a_Comment</f>
        <v xml:space="preserve"> </v>
      </c>
      <c r="AL2">
        <f>Q4a_B_TotalUSGSupport</f>
        <v>0</v>
      </c>
      <c r="AM2">
        <f>Q4b_A_DepUSG_YN</f>
        <v>0</v>
      </c>
      <c r="AN2">
        <f>Q4b_A_DepUSG_Explain</f>
        <v>0</v>
      </c>
      <c r="AO2">
        <f>Q4b_A_Integration</f>
        <v>0</v>
      </c>
      <c r="AP2">
        <f>Q4b_A_Integration_Explain</f>
        <v>0</v>
      </c>
      <c r="AQ2">
        <f>Q4b_B_CapEx_Decrease</f>
        <v>0</v>
      </c>
      <c r="AR2">
        <f>Q4b_B_CapEx_Increase</f>
        <v>0</v>
      </c>
      <c r="AS2">
        <f>Q4b_B_CapEx_Explain</f>
        <v>0</v>
      </c>
      <c r="AT2">
        <f>Q4b_B_RD_Decrease</f>
        <v>0</v>
      </c>
      <c r="AU2">
        <f>Q4b_B_RD_Increase</f>
        <v>0</v>
      </c>
      <c r="AV2">
        <f>Q4b_B_RD_Explain</f>
        <v>0</v>
      </c>
      <c r="AW2">
        <f>Q4b_B_USG_Decrease</f>
        <v>0</v>
      </c>
      <c r="AX2">
        <f>Q4b_B_USG_Increase</f>
        <v>0</v>
      </c>
      <c r="AY2">
        <f>Q4b_B_USG_Explain</f>
        <v>0</v>
      </c>
      <c r="AZ2">
        <f>Q4b_B_Costs_Decrease</f>
        <v>0</v>
      </c>
      <c r="BA2">
        <f>Q4b_B_Costs_Increase</f>
        <v>0</v>
      </c>
      <c r="BB2">
        <f>Q4b_B_Costs_Explain</f>
        <v>0</v>
      </c>
      <c r="BC2">
        <f>Q4b_B_Viability_Decrease</f>
        <v>0</v>
      </c>
      <c r="BD2">
        <f>Q4b_B_Viability_Increase</f>
        <v>0</v>
      </c>
      <c r="BE2">
        <f>Q4b_B_Viability_Explain</f>
        <v>0</v>
      </c>
      <c r="BF2">
        <f>Q4b_B_Skills_Decrease</f>
        <v>0</v>
      </c>
      <c r="BG2">
        <f>Q4b_B_Skills_Increase</f>
        <v>0</v>
      </c>
      <c r="BH2">
        <f>Q4b_B_Skills_Explain</f>
        <v>0</v>
      </c>
      <c r="BI2">
        <f>Q4b_B_Number_Decrease</f>
        <v>0</v>
      </c>
      <c r="BJ2">
        <f>Q4b_B_Number_Increase</f>
        <v>0</v>
      </c>
      <c r="BK2">
        <f>Q4b_B_Number_Explain</f>
        <v>0</v>
      </c>
      <c r="BL2">
        <f>Q4b_B_NonUS_Decrease</f>
        <v>0</v>
      </c>
      <c r="BM2">
        <f>Q4b_B_NonUS_Increase</f>
        <v>0</v>
      </c>
      <c r="BN2">
        <f>Q4b_B_NonUS_Explain</f>
        <v>0</v>
      </c>
      <c r="BO2">
        <f>Q4b_B_Equipment_Decrease</f>
        <v>0</v>
      </c>
      <c r="BP2">
        <f>Q4b_B_Equipment_Increase</f>
        <v>0</v>
      </c>
      <c r="BQ2">
        <f>Q4b_B_Equipment_Explain</f>
        <v>0</v>
      </c>
      <c r="BR2">
        <f>Q4b_B_Move_Decrease</f>
        <v>0</v>
      </c>
      <c r="BS2">
        <f>Q4b_B_Move_Increase</f>
        <v>0</v>
      </c>
      <c r="BT2">
        <f>Q4b_B_Move_Explain</f>
        <v>0</v>
      </c>
      <c r="BU2">
        <f>Q4b_B_Other1_Decrease</f>
        <v>0</v>
      </c>
      <c r="BV2">
        <f>Q4b_B_Other1_Increase</f>
        <v>0</v>
      </c>
      <c r="BW2">
        <f>Q4b_B_Other1_Explain</f>
        <v>0</v>
      </c>
      <c r="BX2" t="str">
        <f>Q4b_B_Other1_Specify</f>
        <v>(specify here)</v>
      </c>
      <c r="BY2">
        <f>Q4b_B_Other2_Decrease</f>
        <v>0</v>
      </c>
      <c r="BZ2">
        <f>Q4b_B_Other2_Increase</f>
        <v>0</v>
      </c>
      <c r="CA2">
        <f>Q4b_B_Other2_Explain</f>
        <v>0</v>
      </c>
      <c r="CB2" t="str">
        <f>Q4b_B_Other2_Specify</f>
        <v>(specify here)</v>
      </c>
      <c r="CC2">
        <f>Q4b_Comment</f>
        <v>0</v>
      </c>
    </row>
    <row r="13" spans="1:81">
      <c r="V13" s="588"/>
    </row>
    <row r="14" spans="1:81">
      <c r="V14" s="588"/>
    </row>
    <row r="15" spans="1:81">
      <c r="V15" s="588"/>
    </row>
    <row r="16" spans="1:81">
      <c r="V16" s="588"/>
    </row>
    <row r="17" spans="22:22">
      <c r="V17" s="588"/>
    </row>
    <row r="18" spans="22:22">
      <c r="V18" s="588"/>
    </row>
    <row r="19" spans="22:22">
      <c r="V19" s="588"/>
    </row>
    <row r="20" spans="22:22">
      <c r="V20" s="588"/>
    </row>
    <row r="21" spans="22:22">
      <c r="V21" s="588"/>
    </row>
    <row r="22" spans="22:22">
      <c r="V22" s="588"/>
    </row>
    <row r="23" spans="22:22">
      <c r="V23" s="588"/>
    </row>
    <row r="24" spans="22:22">
      <c r="V24" s="588"/>
    </row>
    <row r="25" spans="22:22">
      <c r="V25" s="588"/>
    </row>
    <row r="26" spans="22:22">
      <c r="V26" s="588"/>
    </row>
    <row r="27" spans="22:22">
      <c r="V27" s="588"/>
    </row>
    <row r="28" spans="22:22">
      <c r="V28" s="588"/>
    </row>
    <row r="29" spans="22:22">
      <c r="V29" s="588"/>
    </row>
    <row r="30" spans="22:22">
      <c r="V30" s="588"/>
    </row>
    <row r="31" spans="22:22">
      <c r="V31" s="588"/>
    </row>
    <row r="32" spans="22:22">
      <c r="V32" s="588"/>
    </row>
    <row r="33" spans="22:22">
      <c r="V33" s="588"/>
    </row>
    <row r="34" spans="22:22">
      <c r="V34" s="588"/>
    </row>
    <row r="35" spans="22:22">
      <c r="V35" s="588"/>
    </row>
    <row r="36" spans="22:22">
      <c r="V36" s="588"/>
    </row>
    <row r="37" spans="22:22">
      <c r="V37" s="588"/>
    </row>
    <row r="38" spans="22:22">
      <c r="V38" s="588"/>
    </row>
    <row r="39" spans="22:22">
      <c r="V39" s="588"/>
    </row>
    <row r="40" spans="22:22">
      <c r="V40" s="588"/>
    </row>
    <row r="41" spans="22:22">
      <c r="V41" s="588"/>
    </row>
    <row r="42" spans="22:22">
      <c r="V42" s="588"/>
    </row>
    <row r="43" spans="22:22">
      <c r="V43" s="588"/>
    </row>
    <row r="44" spans="22:22">
      <c r="V44" s="588"/>
    </row>
    <row r="45" spans="22:22">
      <c r="V45" s="588"/>
    </row>
    <row r="46" spans="22:22">
      <c r="V46" s="588"/>
    </row>
    <row r="47" spans="22:22">
      <c r="V47" s="588"/>
    </row>
    <row r="48" spans="22:22">
      <c r="V48" s="588"/>
    </row>
    <row r="49" spans="22:22">
      <c r="V49" s="588"/>
    </row>
    <row r="50" spans="22:22">
      <c r="V50" s="588"/>
    </row>
    <row r="51" spans="22:22">
      <c r="V51" s="588"/>
    </row>
    <row r="52" spans="22:22">
      <c r="V52" s="588"/>
    </row>
    <row r="53" spans="22:22">
      <c r="V53" s="588"/>
    </row>
    <row r="54" spans="22:22">
      <c r="V54" s="588"/>
    </row>
    <row r="55" spans="22:22">
      <c r="V55" s="588"/>
    </row>
    <row r="56" spans="22:22">
      <c r="V56" s="588"/>
    </row>
    <row r="57" spans="22:22">
      <c r="V57" s="588"/>
    </row>
    <row r="58" spans="22:22">
      <c r="V58" s="588"/>
    </row>
    <row r="59" spans="22:22">
      <c r="V59" s="588"/>
    </row>
    <row r="60" spans="22:22">
      <c r="V60" s="588"/>
    </row>
    <row r="61" spans="22:22">
      <c r="V61" s="588"/>
    </row>
    <row r="62" spans="22:22">
      <c r="V62" s="588"/>
    </row>
    <row r="63" spans="22:22">
      <c r="V63" s="588"/>
    </row>
    <row r="64" spans="22:22">
      <c r="V64" s="588"/>
    </row>
    <row r="65" spans="22:22">
      <c r="V65" s="588"/>
    </row>
    <row r="66" spans="22:22">
      <c r="V66" s="588"/>
    </row>
    <row r="67" spans="22:22">
      <c r="V67" s="588"/>
    </row>
    <row r="68" spans="22:22">
      <c r="V68" s="588"/>
    </row>
    <row r="69" spans="22:22">
      <c r="V69" s="588"/>
    </row>
    <row r="70" spans="22:22">
      <c r="V70" s="588"/>
    </row>
    <row r="71" spans="22:22">
      <c r="V71" s="588"/>
    </row>
    <row r="72" spans="22:22">
      <c r="V72" s="588"/>
    </row>
    <row r="73" spans="22:22">
      <c r="V73" s="588"/>
    </row>
    <row r="74" spans="22:22">
      <c r="V74" s="588"/>
    </row>
    <row r="75" spans="22:22">
      <c r="V75" s="588"/>
    </row>
    <row r="76" spans="22:22">
      <c r="V76" s="588"/>
    </row>
    <row r="77" spans="22:22">
      <c r="V77" s="588"/>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zoomScale="85" zoomScaleNormal="85" workbookViewId="0">
      <selection activeCell="A2" sqref="A2:P2"/>
    </sheetView>
  </sheetViews>
  <sheetFormatPr defaultRowHeight="15"/>
  <sheetData>
    <row r="1" spans="1:2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1804</v>
      </c>
      <c r="R1" t="s">
        <v>919</v>
      </c>
      <c r="S1" t="s">
        <v>105</v>
      </c>
      <c r="T1" t="s">
        <v>1805</v>
      </c>
      <c r="U1" t="s">
        <v>1806</v>
      </c>
      <c r="V1" t="s">
        <v>1807</v>
      </c>
    </row>
    <row r="2" spans="1:2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v>1</v>
      </c>
      <c r="R2">
        <f>'4a'!C16</f>
        <v>0</v>
      </c>
      <c r="S2">
        <f>'4a'!E16</f>
        <v>0</v>
      </c>
      <c r="T2">
        <f>'4a'!G16</f>
        <v>0</v>
      </c>
      <c r="U2">
        <f>'4a'!I16</f>
        <v>0</v>
      </c>
      <c r="V2">
        <f>'4a'!J16</f>
        <v>0</v>
      </c>
    </row>
    <row r="3" spans="1:22">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v>2</v>
      </c>
      <c r="R3">
        <f>'4a'!C17</f>
        <v>0</v>
      </c>
      <c r="S3">
        <f>'4a'!E17</f>
        <v>0</v>
      </c>
      <c r="T3">
        <f>'4a'!G17</f>
        <v>0</v>
      </c>
      <c r="U3">
        <f>'4a'!I17</f>
        <v>0</v>
      </c>
      <c r="V3">
        <f>'4a'!J17</f>
        <v>0</v>
      </c>
    </row>
    <row r="4" spans="1:22">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v>3</v>
      </c>
      <c r="R4">
        <f>'4a'!C18</f>
        <v>0</v>
      </c>
      <c r="S4">
        <f>'4a'!E18</f>
        <v>0</v>
      </c>
      <c r="T4">
        <f>'4a'!G18</f>
        <v>0</v>
      </c>
      <c r="U4">
        <f>'4a'!I18</f>
        <v>0</v>
      </c>
      <c r="V4">
        <f>'4a'!J18</f>
        <v>0</v>
      </c>
    </row>
    <row r="5" spans="1:22">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v>4</v>
      </c>
      <c r="R5">
        <f>'4a'!C19</f>
        <v>0</v>
      </c>
      <c r="S5">
        <f>'4a'!E19</f>
        <v>0</v>
      </c>
      <c r="T5">
        <f>'4a'!G19</f>
        <v>0</v>
      </c>
      <c r="U5">
        <f>'4a'!I19</f>
        <v>0</v>
      </c>
      <c r="V5">
        <f>'4a'!J19</f>
        <v>0</v>
      </c>
    </row>
    <row r="6" spans="1:22">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v>5</v>
      </c>
      <c r="R6">
        <f>'4a'!C20</f>
        <v>0</v>
      </c>
      <c r="S6">
        <f>'4a'!E20</f>
        <v>0</v>
      </c>
      <c r="T6">
        <f>'4a'!G20</f>
        <v>0</v>
      </c>
      <c r="U6">
        <f>'4a'!I20</f>
        <v>0</v>
      </c>
      <c r="V6">
        <f>'4a'!J20</f>
        <v>0</v>
      </c>
    </row>
    <row r="7" spans="1:22">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v>6</v>
      </c>
      <c r="R7">
        <f>'4a'!C21</f>
        <v>0</v>
      </c>
      <c r="S7">
        <f>'4a'!E21</f>
        <v>0</v>
      </c>
      <c r="T7">
        <f>'4a'!G21</f>
        <v>0</v>
      </c>
      <c r="U7">
        <f>'4a'!I21</f>
        <v>0</v>
      </c>
      <c r="V7">
        <f>'4a'!J21</f>
        <v>0</v>
      </c>
    </row>
    <row r="8" spans="1:22">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v>7</v>
      </c>
      <c r="R8">
        <f>'4a'!C22</f>
        <v>0</v>
      </c>
      <c r="S8">
        <f>'4a'!E22</f>
        <v>0</v>
      </c>
      <c r="T8">
        <f>'4a'!G22</f>
        <v>0</v>
      </c>
      <c r="U8">
        <f>'4a'!I22</f>
        <v>0</v>
      </c>
      <c r="V8">
        <f>'4a'!J22</f>
        <v>0</v>
      </c>
    </row>
    <row r="9" spans="1:22">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v>8</v>
      </c>
      <c r="R9">
        <f>'4a'!C23</f>
        <v>0</v>
      </c>
      <c r="S9">
        <f>'4a'!E23</f>
        <v>0</v>
      </c>
      <c r="T9">
        <f>'4a'!G23</f>
        <v>0</v>
      </c>
      <c r="U9">
        <f>'4a'!I23</f>
        <v>0</v>
      </c>
      <c r="V9">
        <f>'4a'!J23</f>
        <v>0</v>
      </c>
    </row>
    <row r="10" spans="1:22">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v>9</v>
      </c>
      <c r="R10">
        <f>'4a'!C24</f>
        <v>0</v>
      </c>
      <c r="S10">
        <f>'4a'!E24</f>
        <v>0</v>
      </c>
      <c r="T10">
        <f>'4a'!G24</f>
        <v>0</v>
      </c>
      <c r="U10">
        <f>'4a'!I24</f>
        <v>0</v>
      </c>
      <c r="V10">
        <f>'4a'!J24</f>
        <v>0</v>
      </c>
    </row>
    <row r="11" spans="1:22">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v>10</v>
      </c>
      <c r="R11">
        <f>'4a'!C25</f>
        <v>0</v>
      </c>
      <c r="S11">
        <f>'4a'!E25</f>
        <v>0</v>
      </c>
      <c r="T11">
        <f>'4a'!G25</f>
        <v>0</v>
      </c>
      <c r="U11">
        <f>'4a'!I25</f>
        <v>0</v>
      </c>
      <c r="V11">
        <f>'4a'!J25</f>
        <v>0</v>
      </c>
    </row>
    <row r="12" spans="1:22">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v>11</v>
      </c>
      <c r="R12">
        <f>'4a'!C26</f>
        <v>0</v>
      </c>
      <c r="S12">
        <f>'4a'!E26</f>
        <v>0</v>
      </c>
      <c r="T12">
        <f>'4a'!G26</f>
        <v>0</v>
      </c>
      <c r="U12">
        <f>'4a'!I26</f>
        <v>0</v>
      </c>
      <c r="V12">
        <f>'4a'!J26</f>
        <v>0</v>
      </c>
    </row>
    <row r="13" spans="1:22">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v>12</v>
      </c>
      <c r="R13">
        <f>'4a'!C27</f>
        <v>0</v>
      </c>
      <c r="S13">
        <f>'4a'!E27</f>
        <v>0</v>
      </c>
      <c r="T13">
        <f>'4a'!G27</f>
        <v>0</v>
      </c>
      <c r="U13">
        <f>'4a'!I27</f>
        <v>0</v>
      </c>
      <c r="V13">
        <f>'4a'!J27</f>
        <v>0</v>
      </c>
    </row>
    <row r="14" spans="1:22">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v>13</v>
      </c>
      <c r="R14">
        <f>'4a'!C28</f>
        <v>0</v>
      </c>
      <c r="S14">
        <f>'4a'!E28</f>
        <v>0</v>
      </c>
      <c r="T14">
        <f>'4a'!G28</f>
        <v>0</v>
      </c>
      <c r="U14">
        <f>'4a'!I28</f>
        <v>0</v>
      </c>
      <c r="V14">
        <f>'4a'!J28</f>
        <v>0</v>
      </c>
    </row>
    <row r="15" spans="1:22">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v>14</v>
      </c>
      <c r="R15">
        <f>'4a'!C29</f>
        <v>0</v>
      </c>
      <c r="S15">
        <f>'4a'!E29</f>
        <v>0</v>
      </c>
      <c r="T15">
        <f>'4a'!G29</f>
        <v>0</v>
      </c>
      <c r="U15">
        <f>'4a'!I29</f>
        <v>0</v>
      </c>
      <c r="V15">
        <f>'4a'!J29</f>
        <v>0</v>
      </c>
    </row>
    <row r="16" spans="1:22">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v>15</v>
      </c>
      <c r="R16">
        <f>'4a'!C30</f>
        <v>0</v>
      </c>
      <c r="S16">
        <f>'4a'!E30</f>
        <v>0</v>
      </c>
      <c r="T16">
        <f>'4a'!G30</f>
        <v>0</v>
      </c>
      <c r="U16">
        <f>'4a'!I30</f>
        <v>0</v>
      </c>
      <c r="V16">
        <f>'4a'!J30</f>
        <v>0</v>
      </c>
    </row>
    <row r="17" spans="1:22">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v>16</v>
      </c>
      <c r="R17">
        <f>'4a'!C31</f>
        <v>0</v>
      </c>
      <c r="S17">
        <f>'4a'!E31</f>
        <v>0</v>
      </c>
      <c r="T17">
        <f>'4a'!G31</f>
        <v>0</v>
      </c>
      <c r="U17">
        <f>'4a'!I31</f>
        <v>0</v>
      </c>
      <c r="V17">
        <f>'4a'!J31</f>
        <v>0</v>
      </c>
    </row>
    <row r="18" spans="1:22">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v>17</v>
      </c>
      <c r="R18">
        <f>'4a'!C32</f>
        <v>0</v>
      </c>
      <c r="S18">
        <f>'4a'!E32</f>
        <v>0</v>
      </c>
      <c r="T18">
        <f>'4a'!G32</f>
        <v>0</v>
      </c>
      <c r="U18">
        <f>'4a'!I32</f>
        <v>0</v>
      </c>
      <c r="V18">
        <f>'4a'!J32</f>
        <v>0</v>
      </c>
    </row>
    <row r="19" spans="1:22">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v>18</v>
      </c>
      <c r="R19">
        <f>'4a'!C33</f>
        <v>0</v>
      </c>
      <c r="S19">
        <f>'4a'!E33</f>
        <v>0</v>
      </c>
      <c r="T19">
        <f>'4a'!G33</f>
        <v>0</v>
      </c>
      <c r="U19">
        <f>'4a'!I33</f>
        <v>0</v>
      </c>
      <c r="V19">
        <f>'4a'!J33</f>
        <v>0</v>
      </c>
    </row>
    <row r="20" spans="1:22">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v>19</v>
      </c>
      <c r="R20">
        <f>'4a'!C34</f>
        <v>0</v>
      </c>
      <c r="S20">
        <f>'4a'!E34</f>
        <v>0</v>
      </c>
      <c r="T20">
        <f>'4a'!G34</f>
        <v>0</v>
      </c>
      <c r="U20">
        <f>'4a'!I34</f>
        <v>0</v>
      </c>
      <c r="V20">
        <f>'4a'!J34</f>
        <v>0</v>
      </c>
    </row>
    <row r="21" spans="1:22">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v>20</v>
      </c>
      <c r="R21">
        <f>'4a'!C35</f>
        <v>0</v>
      </c>
      <c r="S21">
        <f>'4a'!E35</f>
        <v>0</v>
      </c>
      <c r="T21">
        <f>'4a'!G35</f>
        <v>0</v>
      </c>
      <c r="U21">
        <f>'4a'!I35</f>
        <v>0</v>
      </c>
      <c r="V21">
        <f>'4a'!J35</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zoomScale="85" zoomScaleNormal="85" workbookViewId="0">
      <selection activeCell="A2" sqref="A2:P2"/>
    </sheetView>
  </sheetViews>
  <sheetFormatPr defaultRowHeight="15"/>
  <cols>
    <col min="17" max="17" width="57.5703125" bestFit="1" customWidth="1"/>
  </cols>
  <sheetData>
    <row r="1" spans="1:2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732</v>
      </c>
      <c r="R1" t="s">
        <v>1808</v>
      </c>
      <c r="S1" t="s">
        <v>1809</v>
      </c>
      <c r="T1" t="s">
        <v>1810</v>
      </c>
      <c r="U1" t="s">
        <v>1811</v>
      </c>
    </row>
    <row r="2" spans="1:21">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1220</v>
      </c>
      <c r="R2">
        <f>'5a'!J6</f>
        <v>0</v>
      </c>
      <c r="S2">
        <f>'5a'!L6</f>
        <v>0</v>
      </c>
      <c r="T2">
        <f>'5e'!E6</f>
        <v>0</v>
      </c>
      <c r="U2">
        <f>'5e'!F6</f>
        <v>0</v>
      </c>
    </row>
    <row r="3" spans="1:21">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934</v>
      </c>
      <c r="R3">
        <f>'5a'!J7</f>
        <v>0</v>
      </c>
      <c r="S3">
        <f>'5a'!L7</f>
        <v>0</v>
      </c>
      <c r="T3">
        <f>'5e'!E7</f>
        <v>0</v>
      </c>
      <c r="U3">
        <f>'5e'!F7</f>
        <v>0</v>
      </c>
    </row>
    <row r="4" spans="1:21">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1366</v>
      </c>
      <c r="R4">
        <f>'5a'!J8</f>
        <v>0</v>
      </c>
      <c r="S4">
        <f>'5a'!L8</f>
        <v>0</v>
      </c>
      <c r="T4">
        <f>'5e'!E8</f>
        <v>0</v>
      </c>
      <c r="U4">
        <f>'5e'!F8</f>
        <v>0</v>
      </c>
    </row>
    <row r="5" spans="1:21">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1367</v>
      </c>
      <c r="R5">
        <f>'5a'!J9</f>
        <v>0</v>
      </c>
      <c r="S5">
        <f>'5a'!L9</f>
        <v>0</v>
      </c>
      <c r="T5">
        <f>'5e'!E9</f>
        <v>0</v>
      </c>
      <c r="U5">
        <f>'5e'!F9</f>
        <v>0</v>
      </c>
    </row>
    <row r="6" spans="1:21">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1368</v>
      </c>
      <c r="R6">
        <f>'5a'!J10</f>
        <v>0</v>
      </c>
      <c r="S6">
        <f>'5a'!L10</f>
        <v>0</v>
      </c>
      <c r="T6">
        <f>'5e'!E10</f>
        <v>0</v>
      </c>
      <c r="U6">
        <f>'5e'!F10</f>
        <v>0</v>
      </c>
    </row>
    <row r="7" spans="1:21">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1369</v>
      </c>
      <c r="R7">
        <f>'5a'!J11</f>
        <v>0</v>
      </c>
      <c r="S7">
        <f>'5a'!L11</f>
        <v>0</v>
      </c>
      <c r="T7">
        <f>'5e'!E11</f>
        <v>0</v>
      </c>
      <c r="U7">
        <f>'5e'!F11</f>
        <v>0</v>
      </c>
    </row>
    <row r="8" spans="1:21">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1370</v>
      </c>
      <c r="R8">
        <f>'5a'!J12</f>
        <v>0</v>
      </c>
      <c r="S8">
        <f>'5a'!L12</f>
        <v>0</v>
      </c>
      <c r="T8">
        <f>'5e'!E12</f>
        <v>0</v>
      </c>
      <c r="U8">
        <f>'5e'!F12</f>
        <v>0</v>
      </c>
    </row>
    <row r="9" spans="1:21">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1371</v>
      </c>
      <c r="R9">
        <f>'5a'!J13</f>
        <v>0</v>
      </c>
      <c r="S9">
        <f>'5a'!L13</f>
        <v>0</v>
      </c>
      <c r="T9">
        <f>'5e'!E13</f>
        <v>0</v>
      </c>
      <c r="U9">
        <f>'5e'!F13</f>
        <v>0</v>
      </c>
    </row>
    <row r="10" spans="1:21">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1372</v>
      </c>
      <c r="R10">
        <f>'5a'!J14</f>
        <v>0</v>
      </c>
      <c r="S10">
        <f>'5a'!L14</f>
        <v>0</v>
      </c>
      <c r="T10">
        <f>'5e'!E14</f>
        <v>0</v>
      </c>
      <c r="U10">
        <f>'5e'!F14</f>
        <v>0</v>
      </c>
    </row>
    <row r="11" spans="1:21">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1373</v>
      </c>
      <c r="R11">
        <f>'5a'!J15</f>
        <v>0</v>
      </c>
      <c r="S11">
        <f>'5a'!L15</f>
        <v>0</v>
      </c>
      <c r="T11">
        <f>'5e'!E15</f>
        <v>0</v>
      </c>
      <c r="U11">
        <f>'5e'!F15</f>
        <v>0</v>
      </c>
    </row>
    <row r="12" spans="1:21">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651</v>
      </c>
      <c r="R12">
        <f>'5a'!J16</f>
        <v>0</v>
      </c>
      <c r="S12">
        <f>'5a'!L16</f>
        <v>0</v>
      </c>
      <c r="T12">
        <f>'5e'!E16</f>
        <v>0</v>
      </c>
      <c r="U12">
        <f>'5e'!F16</f>
        <v>0</v>
      </c>
    </row>
    <row r="13" spans="1:21">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1221</v>
      </c>
      <c r="R13">
        <f>'5a'!J17</f>
        <v>0</v>
      </c>
      <c r="S13">
        <f>'5a'!L17</f>
        <v>0</v>
      </c>
      <c r="T13">
        <f>'5e'!E17</f>
        <v>0</v>
      </c>
      <c r="U13">
        <f>'5e'!F17</f>
        <v>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zoomScale="85" zoomScaleNormal="85" workbookViewId="0">
      <selection activeCell="A2" sqref="A2:P2"/>
    </sheetView>
  </sheetViews>
  <sheetFormatPr defaultRowHeight="15"/>
  <sheetData>
    <row r="1" spans="1:2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1812</v>
      </c>
      <c r="R1" s="591" t="s">
        <v>1815</v>
      </c>
      <c r="S1" t="s">
        <v>685</v>
      </c>
      <c r="T1" t="s">
        <v>686</v>
      </c>
      <c r="U1" t="s">
        <v>687</v>
      </c>
      <c r="V1" t="s">
        <v>688</v>
      </c>
    </row>
    <row r="2" spans="1:2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1813</v>
      </c>
      <c r="R2" s="591" t="s">
        <v>1241</v>
      </c>
      <c r="S2">
        <f>'5a'!F25</f>
        <v>0</v>
      </c>
      <c r="T2">
        <f>'5a'!F26</f>
        <v>0</v>
      </c>
      <c r="U2">
        <f>'5a'!F27</f>
        <v>0</v>
      </c>
      <c r="V2">
        <f>'5a'!F28</f>
        <v>0</v>
      </c>
    </row>
    <row r="3" spans="1:22">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1813</v>
      </c>
      <c r="R3" s="591" t="s">
        <v>1242</v>
      </c>
      <c r="S3">
        <f>'5a'!G25</f>
        <v>0</v>
      </c>
      <c r="T3">
        <f>'5a'!G26</f>
        <v>0</v>
      </c>
      <c r="U3">
        <f>'5a'!G27</f>
        <v>0</v>
      </c>
      <c r="V3">
        <f>'5a'!G28</f>
        <v>0</v>
      </c>
    </row>
    <row r="4" spans="1:22">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1813</v>
      </c>
      <c r="R4" s="591" t="s">
        <v>1243</v>
      </c>
      <c r="S4">
        <f>'5a'!H25</f>
        <v>0</v>
      </c>
      <c r="T4">
        <f>'5a'!H26</f>
        <v>0</v>
      </c>
      <c r="U4">
        <f>'5a'!H27</f>
        <v>0</v>
      </c>
      <c r="V4">
        <f>'5a'!H28</f>
        <v>0</v>
      </c>
    </row>
    <row r="5" spans="1:22">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1813</v>
      </c>
      <c r="R5" s="591" t="s">
        <v>1244</v>
      </c>
      <c r="S5">
        <f>'5a'!I25</f>
        <v>0</v>
      </c>
      <c r="T5">
        <f>'5a'!I26</f>
        <v>0</v>
      </c>
      <c r="U5">
        <f>'5a'!I27</f>
        <v>0</v>
      </c>
      <c r="V5">
        <f>'5a'!I28</f>
        <v>0</v>
      </c>
    </row>
    <row r="6" spans="1:22">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1813</v>
      </c>
      <c r="R6" s="591" t="s">
        <v>1374</v>
      </c>
      <c r="S6">
        <f>'5a'!J25</f>
        <v>0</v>
      </c>
      <c r="T6">
        <f>'5a'!J26</f>
        <v>0</v>
      </c>
      <c r="U6">
        <f>'5a'!J27</f>
        <v>0</v>
      </c>
      <c r="V6">
        <f>'5a'!J28</f>
        <v>0</v>
      </c>
    </row>
    <row r="7" spans="1:22">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1813</v>
      </c>
      <c r="R7" s="591" t="s">
        <v>1375</v>
      </c>
      <c r="S7">
        <f>'5a'!K25</f>
        <v>0</v>
      </c>
      <c r="T7">
        <f>'5a'!K26</f>
        <v>0</v>
      </c>
      <c r="U7">
        <f>'5a'!K27</f>
        <v>0</v>
      </c>
      <c r="V7">
        <f>'5a'!K28</f>
        <v>0</v>
      </c>
    </row>
    <row r="8" spans="1:22">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1813</v>
      </c>
      <c r="R8" s="591" t="s">
        <v>1376</v>
      </c>
      <c r="S8">
        <f>'5a'!L25</f>
        <v>0</v>
      </c>
      <c r="T8">
        <f>'5a'!L26</f>
        <v>0</v>
      </c>
      <c r="U8">
        <f>'5a'!L27</f>
        <v>0</v>
      </c>
      <c r="V8">
        <f>'5a'!L28</f>
        <v>0</v>
      </c>
    </row>
    <row r="9" spans="1:22">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1814</v>
      </c>
      <c r="R9" s="591" t="s">
        <v>1241</v>
      </c>
      <c r="S9">
        <f>'5a'!F32</f>
        <v>0</v>
      </c>
      <c r="T9">
        <f>'5a'!F33</f>
        <v>0</v>
      </c>
      <c r="U9">
        <f>'5a'!F34</f>
        <v>0</v>
      </c>
      <c r="V9">
        <f>'5a'!F35</f>
        <v>0</v>
      </c>
    </row>
    <row r="10" spans="1:22">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1814</v>
      </c>
      <c r="R10" s="591" t="s">
        <v>1242</v>
      </c>
      <c r="S10">
        <f>'5a'!G32</f>
        <v>0</v>
      </c>
      <c r="T10">
        <f>'5a'!G33</f>
        <v>0</v>
      </c>
      <c r="U10">
        <f>'5a'!G34</f>
        <v>0</v>
      </c>
      <c r="V10">
        <f>'5a'!G35</f>
        <v>0</v>
      </c>
    </row>
    <row r="11" spans="1:22">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1814</v>
      </c>
      <c r="R11" s="591" t="s">
        <v>1243</v>
      </c>
      <c r="S11">
        <f>'5a'!H32</f>
        <v>0</v>
      </c>
      <c r="T11">
        <f>'5a'!H33</f>
        <v>0</v>
      </c>
      <c r="U11">
        <f>'5a'!H34</f>
        <v>0</v>
      </c>
      <c r="V11">
        <f>'5a'!H35</f>
        <v>0</v>
      </c>
    </row>
    <row r="12" spans="1:22">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1814</v>
      </c>
      <c r="R12" s="591" t="s">
        <v>1244</v>
      </c>
      <c r="S12">
        <f>'5a'!I32</f>
        <v>0</v>
      </c>
      <c r="T12">
        <f>'5a'!I33</f>
        <v>0</v>
      </c>
      <c r="U12">
        <f>'5a'!I34</f>
        <v>0</v>
      </c>
      <c r="V12">
        <f>'5a'!I35</f>
        <v>0</v>
      </c>
    </row>
    <row r="13" spans="1:22">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1814</v>
      </c>
      <c r="R13" s="591" t="s">
        <v>1374</v>
      </c>
      <c r="S13">
        <f>'5a'!J32</f>
        <v>0</v>
      </c>
      <c r="T13">
        <f>'5a'!J33</f>
        <v>0</v>
      </c>
      <c r="U13">
        <f>'5a'!J34</f>
        <v>0</v>
      </c>
      <c r="V13">
        <f>'5a'!J35</f>
        <v>0</v>
      </c>
    </row>
    <row r="14" spans="1:22">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1814</v>
      </c>
      <c r="R14" s="591" t="s">
        <v>1375</v>
      </c>
      <c r="S14">
        <f>'5a'!K32</f>
        <v>0</v>
      </c>
      <c r="T14">
        <f>'5a'!K33</f>
        <v>0</v>
      </c>
      <c r="U14">
        <f>'5a'!K34</f>
        <v>0</v>
      </c>
      <c r="V14">
        <f>'5a'!K35</f>
        <v>0</v>
      </c>
    </row>
    <row r="15" spans="1:22">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1814</v>
      </c>
      <c r="R15" s="591" t="s">
        <v>1376</v>
      </c>
      <c r="S15">
        <f>'5a'!L32</f>
        <v>0</v>
      </c>
      <c r="T15">
        <f>'5a'!L33</f>
        <v>0</v>
      </c>
      <c r="U15">
        <f>'5a'!L34</f>
        <v>0</v>
      </c>
      <c r="V15">
        <f>'5a'!L35</f>
        <v>0</v>
      </c>
    </row>
    <row r="22" spans="23:31">
      <c r="W22" s="265"/>
      <c r="X22" s="265"/>
      <c r="Y22" s="265"/>
      <c r="Z22" s="265"/>
      <c r="AA22" s="265"/>
      <c r="AB22" s="265"/>
      <c r="AC22" s="265"/>
    </row>
    <row r="23" spans="23:31">
      <c r="W23" s="265"/>
      <c r="X23" s="265"/>
      <c r="Y23" s="265"/>
      <c r="Z23" s="265"/>
      <c r="AA23" s="265"/>
      <c r="AB23" s="265"/>
      <c r="AC23" s="265"/>
      <c r="AD23" s="265"/>
      <c r="AE23" s="265"/>
    </row>
    <row r="24" spans="23:31">
      <c r="W24" s="265"/>
      <c r="X24" s="265"/>
      <c r="Y24" s="265"/>
      <c r="Z24" s="265"/>
      <c r="AA24" s="265"/>
      <c r="AB24" s="265"/>
      <c r="AC24" s="265"/>
      <c r="AD24" s="265"/>
      <c r="AE24" s="265"/>
    </row>
    <row r="25" spans="23:31">
      <c r="W25" s="265"/>
      <c r="X25" s="265"/>
      <c r="Y25" s="265"/>
      <c r="Z25" s="265"/>
      <c r="AA25" s="265"/>
      <c r="AB25" s="265"/>
      <c r="AC25" s="265"/>
      <c r="AD25" s="265"/>
      <c r="AE25" s="265"/>
    </row>
    <row r="26" spans="23:31">
      <c r="Y26" s="265"/>
      <c r="Z26" s="265"/>
      <c r="AA26" s="265"/>
      <c r="AB26" s="265"/>
      <c r="AC26" s="265"/>
      <c r="AD26" s="265"/>
      <c r="AE26" s="265"/>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zoomScale="85" zoomScaleNormal="85" workbookViewId="0">
      <selection activeCell="A2" sqref="A2:P2"/>
    </sheetView>
  </sheetViews>
  <sheetFormatPr defaultRowHeight="15"/>
  <sheetData>
    <row r="1" spans="1:19">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1817</v>
      </c>
      <c r="R1" t="s">
        <v>1816</v>
      </c>
      <c r="S1" t="s">
        <v>1231</v>
      </c>
    </row>
    <row r="2" spans="1:19">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1223</v>
      </c>
      <c r="R2">
        <f>'5b'!G6</f>
        <v>0</v>
      </c>
      <c r="S2">
        <f>'5b'!H6</f>
        <v>0</v>
      </c>
    </row>
    <row r="3" spans="1:19">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659</v>
      </c>
      <c r="R3">
        <f>'5b'!G7</f>
        <v>0</v>
      </c>
      <c r="S3">
        <f>'5b'!H7</f>
        <v>0</v>
      </c>
    </row>
    <row r="4" spans="1:19">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1224</v>
      </c>
      <c r="R4">
        <f>'5b'!G8</f>
        <v>0</v>
      </c>
      <c r="S4">
        <f>'5b'!H8</f>
        <v>0</v>
      </c>
    </row>
    <row r="5" spans="1:19">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1225</v>
      </c>
      <c r="R5">
        <f>'5b'!G9</f>
        <v>0</v>
      </c>
      <c r="S5">
        <f>'5b'!H9</f>
        <v>0</v>
      </c>
    </row>
    <row r="6" spans="1:19">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660</v>
      </c>
      <c r="R6">
        <f>'5b'!G10</f>
        <v>0</v>
      </c>
      <c r="S6">
        <f>'5b'!H10</f>
        <v>0</v>
      </c>
    </row>
    <row r="7" spans="1:19">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1226</v>
      </c>
      <c r="R7">
        <f>'5b'!G11</f>
        <v>0</v>
      </c>
      <c r="S7">
        <f>'5b'!H11</f>
        <v>0</v>
      </c>
    </row>
    <row r="8" spans="1:19">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1227</v>
      </c>
      <c r="R8">
        <f>'5b'!G12</f>
        <v>0</v>
      </c>
      <c r="S8">
        <f>'5b'!H12</f>
        <v>0</v>
      </c>
    </row>
    <row r="9" spans="1:19">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1228</v>
      </c>
      <c r="R9">
        <f>'5b'!G13</f>
        <v>0</v>
      </c>
      <c r="S9">
        <f>'5b'!H13</f>
        <v>0</v>
      </c>
    </row>
    <row r="10" spans="1:19">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1229</v>
      </c>
      <c r="R10">
        <f>'5b'!G14</f>
        <v>0</v>
      </c>
      <c r="S10">
        <f>'5b'!H14</f>
        <v>0</v>
      </c>
    </row>
    <row r="11" spans="1:19">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1230</v>
      </c>
      <c r="R11">
        <f>'5b'!M6</f>
        <v>0</v>
      </c>
      <c r="S11">
        <f>'5b'!N6</f>
        <v>0</v>
      </c>
    </row>
    <row r="12" spans="1:19">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655</v>
      </c>
      <c r="R12">
        <f>'5b'!M7</f>
        <v>0</v>
      </c>
      <c r="S12">
        <f>'5b'!N7</f>
        <v>0</v>
      </c>
    </row>
    <row r="13" spans="1:19">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656</v>
      </c>
      <c r="R13">
        <f>'5b'!M8</f>
        <v>0</v>
      </c>
      <c r="S13">
        <f>'5b'!N8</f>
        <v>0</v>
      </c>
    </row>
    <row r="14" spans="1:19">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657</v>
      </c>
      <c r="R14">
        <f>'5b'!M9</f>
        <v>0</v>
      </c>
      <c r="S14">
        <f>'5b'!N9</f>
        <v>0</v>
      </c>
    </row>
    <row r="15" spans="1:19">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658</v>
      </c>
      <c r="R15">
        <f>'5b'!M10</f>
        <v>0</v>
      </c>
      <c r="S15">
        <f>'5b'!N10</f>
        <v>0</v>
      </c>
    </row>
    <row r="16" spans="1:19">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652</v>
      </c>
      <c r="R16">
        <f>'5b'!M11</f>
        <v>0</v>
      </c>
      <c r="S16">
        <f>'5b'!N11</f>
        <v>0</v>
      </c>
    </row>
    <row r="17" spans="1:19">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653</v>
      </c>
      <c r="R17">
        <f>'5b'!M12</f>
        <v>0</v>
      </c>
      <c r="S17">
        <f>'5b'!N12</f>
        <v>0</v>
      </c>
    </row>
    <row r="18" spans="1:19">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654</v>
      </c>
      <c r="R18">
        <f>'5b'!M13</f>
        <v>0</v>
      </c>
      <c r="S18">
        <f>'5b'!N13</f>
        <v>0</v>
      </c>
    </row>
    <row r="19" spans="1:19">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tr">
        <f>Q5b_A_Other_Specify</f>
        <v>(specify here)</v>
      </c>
      <c r="R19">
        <f>'5b'!M14</f>
        <v>0</v>
      </c>
      <c r="S19">
        <f>'5b'!N14</f>
        <v>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zoomScale="85" zoomScaleNormal="85" workbookViewId="0">
      <selection activeCell="A2" sqref="A2:P2"/>
    </sheetView>
  </sheetViews>
  <sheetFormatPr defaultRowHeight="15"/>
  <sheetData>
    <row r="1" spans="1:19">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711</v>
      </c>
      <c r="R1" t="s">
        <v>712</v>
      </c>
      <c r="S1" t="s">
        <v>468</v>
      </c>
    </row>
    <row r="2" spans="1:19">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704</v>
      </c>
      <c r="R2">
        <f>'5c'!E6</f>
        <v>0</v>
      </c>
      <c r="S2">
        <f>'5c'!F6</f>
        <v>0</v>
      </c>
    </row>
    <row r="3" spans="1:19">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1234</v>
      </c>
      <c r="R3">
        <f>'5c'!E7</f>
        <v>0</v>
      </c>
      <c r="S3">
        <f>'5c'!F7</f>
        <v>0</v>
      </c>
    </row>
    <row r="4" spans="1:19">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705</v>
      </c>
      <c r="R4">
        <f>'5c'!E8</f>
        <v>0</v>
      </c>
      <c r="S4">
        <f>'5c'!F8</f>
        <v>0</v>
      </c>
    </row>
    <row r="5" spans="1:19">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706</v>
      </c>
      <c r="R5">
        <f>'5c'!E9</f>
        <v>0</v>
      </c>
      <c r="S5">
        <f>'5c'!F9</f>
        <v>0</v>
      </c>
    </row>
    <row r="6" spans="1:19">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707</v>
      </c>
      <c r="R6">
        <f>'5c'!E10</f>
        <v>0</v>
      </c>
      <c r="S6">
        <f>'5c'!F10</f>
        <v>0</v>
      </c>
    </row>
    <row r="7" spans="1:19">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708</v>
      </c>
      <c r="R7">
        <f>'5c'!E11</f>
        <v>0</v>
      </c>
      <c r="S7">
        <f>'5c'!F11</f>
        <v>0</v>
      </c>
    </row>
    <row r="8" spans="1:19">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709</v>
      </c>
      <c r="R8">
        <f>'5c'!E12</f>
        <v>0</v>
      </c>
      <c r="S8">
        <f>'5c'!F12</f>
        <v>0</v>
      </c>
    </row>
    <row r="9" spans="1:19">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710</v>
      </c>
      <c r="R9">
        <f>'5c'!E13</f>
        <v>0</v>
      </c>
      <c r="S9">
        <f>'5c'!F13</f>
        <v>0</v>
      </c>
    </row>
    <row r="10" spans="1:19">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1235</v>
      </c>
      <c r="R10">
        <f>'5c'!E14</f>
        <v>0</v>
      </c>
      <c r="S10">
        <f>'5c'!F14</f>
        <v>0</v>
      </c>
    </row>
    <row r="11" spans="1:19">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1236</v>
      </c>
      <c r="R11">
        <f>'5c'!E15</f>
        <v>0</v>
      </c>
      <c r="S11">
        <f>'5c'!F15</f>
        <v>0</v>
      </c>
    </row>
    <row r="12" spans="1:19">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1237</v>
      </c>
      <c r="R12">
        <f>'5c'!E16</f>
        <v>0</v>
      </c>
      <c r="S12">
        <f>'5c'!F16</f>
        <v>0</v>
      </c>
    </row>
    <row r="13" spans="1:19">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1238</v>
      </c>
      <c r="R13">
        <f>'5c'!E17</f>
        <v>0</v>
      </c>
      <c r="S13">
        <f>'5c'!F17</f>
        <v>0</v>
      </c>
    </row>
    <row r="14" spans="1:19">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1239</v>
      </c>
      <c r="R14">
        <f>'5c'!E18</f>
        <v>0</v>
      </c>
      <c r="S14">
        <f>'5c'!F18</f>
        <v>0</v>
      </c>
    </row>
    <row r="15" spans="1:19">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1240</v>
      </c>
      <c r="R15">
        <f>'5c'!E19</f>
        <v>0</v>
      </c>
      <c r="S15">
        <f>'5c'!F19</f>
        <v>0</v>
      </c>
    </row>
    <row r="16" spans="1:19">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tr">
        <f>Q5c_A_Other1_Specify</f>
        <v>(specify here)</v>
      </c>
      <c r="R16">
        <f>'5c'!E20</f>
        <v>0</v>
      </c>
      <c r="S16">
        <f>'5c'!F20</f>
        <v>0</v>
      </c>
    </row>
    <row r="17" spans="1:19">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tr">
        <f>Q5c_A_Other2_Specify</f>
        <v>(specify here)</v>
      </c>
      <c r="R17">
        <f>'5c'!E21</f>
        <v>0</v>
      </c>
      <c r="S17">
        <f>'5c'!F21</f>
        <v>0</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46"/>
  <sheetViews>
    <sheetView zoomScale="85" zoomScaleNormal="85" workbookViewId="0">
      <selection activeCell="A2" sqref="A2:P2"/>
    </sheetView>
  </sheetViews>
  <sheetFormatPr defaultRowHeight="15"/>
  <sheetData>
    <row r="1" spans="1:153">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1582</v>
      </c>
      <c r="R1" t="s">
        <v>1581</v>
      </c>
      <c r="S1" t="s">
        <v>1587</v>
      </c>
      <c r="T1" t="s">
        <v>1583</v>
      </c>
      <c r="U1" t="s">
        <v>1584</v>
      </c>
      <c r="V1" t="s">
        <v>1585</v>
      </c>
      <c r="W1" t="s">
        <v>1586</v>
      </c>
      <c r="X1" t="s">
        <v>1588</v>
      </c>
      <c r="Y1" t="s">
        <v>1593</v>
      </c>
      <c r="Z1" t="s">
        <v>1594</v>
      </c>
      <c r="AA1" t="s">
        <v>1591</v>
      </c>
      <c r="AB1" t="s">
        <v>1592</v>
      </c>
      <c r="AC1" t="s">
        <v>1589</v>
      </c>
      <c r="AD1" t="s">
        <v>1590</v>
      </c>
      <c r="AE1" t="s">
        <v>1595</v>
      </c>
      <c r="AF1" t="s">
        <v>1596</v>
      </c>
      <c r="AG1" t="s">
        <v>1597</v>
      </c>
      <c r="AH1" t="s">
        <v>1598</v>
      </c>
      <c r="AI1" t="s">
        <v>1601</v>
      </c>
      <c r="AJ1" t="s">
        <v>1600</v>
      </c>
      <c r="AK1" t="s">
        <v>1599</v>
      </c>
      <c r="AL1" t="s">
        <v>1613</v>
      </c>
      <c r="AM1" t="s">
        <v>1612</v>
      </c>
      <c r="AN1" t="s">
        <v>1611</v>
      </c>
      <c r="AO1" t="s">
        <v>1610</v>
      </c>
      <c r="AP1" t="s">
        <v>1609</v>
      </c>
      <c r="AQ1" t="s">
        <v>1608</v>
      </c>
      <c r="AR1" t="s">
        <v>1607</v>
      </c>
      <c r="AS1" t="s">
        <v>1606</v>
      </c>
      <c r="AT1" t="s">
        <v>1605</v>
      </c>
      <c r="AU1" t="s">
        <v>1604</v>
      </c>
      <c r="AV1" t="s">
        <v>1603</v>
      </c>
      <c r="AW1" t="s">
        <v>1602</v>
      </c>
      <c r="AX1" t="s">
        <v>1619</v>
      </c>
      <c r="AY1" t="s">
        <v>1622</v>
      </c>
      <c r="AZ1" t="s">
        <v>1617</v>
      </c>
      <c r="BA1" t="s">
        <v>1615</v>
      </c>
      <c r="BB1" t="s">
        <v>1620</v>
      </c>
      <c r="BC1" t="s">
        <v>1618</v>
      </c>
      <c r="BD1" t="s">
        <v>1623</v>
      </c>
      <c r="BE1" t="s">
        <v>1621</v>
      </c>
      <c r="BF1" t="s">
        <v>1616</v>
      </c>
      <c r="BG1" t="s">
        <v>1614</v>
      </c>
      <c r="BH1" t="s">
        <v>1625</v>
      </c>
      <c r="BI1" t="s">
        <v>1624</v>
      </c>
      <c r="BJ1" t="s">
        <v>1628</v>
      </c>
      <c r="BK1" t="s">
        <v>1626</v>
      </c>
      <c r="BL1" t="s">
        <v>1627</v>
      </c>
      <c r="BM1" t="s">
        <v>1631</v>
      </c>
      <c r="BN1" t="s">
        <v>1635</v>
      </c>
      <c r="BO1" t="s">
        <v>1638</v>
      </c>
      <c r="BP1" t="s">
        <v>1636</v>
      </c>
      <c r="BQ1" t="s">
        <v>1637</v>
      </c>
      <c r="BR1" t="s">
        <v>1633</v>
      </c>
      <c r="BS1" t="s">
        <v>1630</v>
      </c>
      <c r="BT1" t="s">
        <v>1632</v>
      </c>
      <c r="BU1" t="s">
        <v>1639</v>
      </c>
      <c r="BV1" t="s">
        <v>1634</v>
      </c>
      <c r="BW1" t="s">
        <v>1641</v>
      </c>
      <c r="BX1" t="s">
        <v>1640</v>
      </c>
      <c r="BY1" t="s">
        <v>1629</v>
      </c>
      <c r="BZ1" t="s">
        <v>1642</v>
      </c>
      <c r="CA1" t="s">
        <v>1643</v>
      </c>
      <c r="CB1" t="s">
        <v>1644</v>
      </c>
      <c r="CC1" t="s">
        <v>1645</v>
      </c>
      <c r="CD1" t="s">
        <v>1646</v>
      </c>
      <c r="CE1" t="s">
        <v>1647</v>
      </c>
      <c r="CF1" t="s">
        <v>1648</v>
      </c>
      <c r="CG1" t="s">
        <v>1649</v>
      </c>
      <c r="CH1" t="s">
        <v>1655</v>
      </c>
      <c r="CI1" t="s">
        <v>1654</v>
      </c>
      <c r="CJ1" t="s">
        <v>1653</v>
      </c>
      <c r="CK1" t="s">
        <v>1652</v>
      </c>
      <c r="CL1" t="s">
        <v>1651</v>
      </c>
      <c r="CM1" t="s">
        <v>1650</v>
      </c>
      <c r="CN1" t="s">
        <v>1656</v>
      </c>
      <c r="CO1" t="s">
        <v>1658</v>
      </c>
      <c r="CP1" t="s">
        <v>1657</v>
      </c>
      <c r="CQ1" t="s">
        <v>1659</v>
      </c>
      <c r="CR1" t="s">
        <v>1660</v>
      </c>
      <c r="CS1" t="s">
        <v>1665</v>
      </c>
      <c r="CT1" t="s">
        <v>1666</v>
      </c>
      <c r="CU1" t="s">
        <v>1663</v>
      </c>
      <c r="CV1" t="s">
        <v>1664</v>
      </c>
      <c r="CW1" t="s">
        <v>1662</v>
      </c>
      <c r="CX1" t="s">
        <v>1667</v>
      </c>
      <c r="CY1" t="s">
        <v>1668</v>
      </c>
      <c r="CZ1" t="s">
        <v>1669</v>
      </c>
      <c r="DA1" t="s">
        <v>1670</v>
      </c>
      <c r="DB1" t="s">
        <v>1672</v>
      </c>
      <c r="DC1" t="s">
        <v>1673</v>
      </c>
      <c r="DD1" t="s">
        <v>1671</v>
      </c>
      <c r="DE1" t="s">
        <v>1674</v>
      </c>
      <c r="DF1" t="s">
        <v>1675</v>
      </c>
      <c r="DG1" t="s">
        <v>1676</v>
      </c>
      <c r="DH1" t="s">
        <v>1677</v>
      </c>
      <c r="DI1" t="s">
        <v>1678</v>
      </c>
      <c r="DJ1" t="s">
        <v>1679</v>
      </c>
      <c r="DK1" t="s">
        <v>1692</v>
      </c>
      <c r="DL1" t="s">
        <v>1693</v>
      </c>
      <c r="DM1" t="s">
        <v>1694</v>
      </c>
      <c r="DN1" t="s">
        <v>1683</v>
      </c>
      <c r="DO1" t="s">
        <v>1684</v>
      </c>
      <c r="DP1" t="s">
        <v>1685</v>
      </c>
      <c r="DQ1" t="s">
        <v>1689</v>
      </c>
      <c r="DR1" t="s">
        <v>1690</v>
      </c>
      <c r="DS1" t="s">
        <v>1691</v>
      </c>
      <c r="DT1" t="s">
        <v>1680</v>
      </c>
      <c r="DU1" t="s">
        <v>1681</v>
      </c>
      <c r="DV1" t="s">
        <v>1682</v>
      </c>
      <c r="DW1" t="s">
        <v>1686</v>
      </c>
      <c r="DX1" t="s">
        <v>1687</v>
      </c>
      <c r="DY1" t="s">
        <v>1688</v>
      </c>
      <c r="DZ1" t="s">
        <v>1661</v>
      </c>
      <c r="EA1" t="s">
        <v>1695</v>
      </c>
      <c r="EB1" t="s">
        <v>1696</v>
      </c>
      <c r="EC1" t="s">
        <v>1697</v>
      </c>
      <c r="ED1" t="s">
        <v>1698</v>
      </c>
      <c r="EE1" t="s">
        <v>1709</v>
      </c>
      <c r="EF1" t="s">
        <v>1710</v>
      </c>
      <c r="EG1" t="s">
        <v>1707</v>
      </c>
      <c r="EH1" t="s">
        <v>1708</v>
      </c>
      <c r="EI1" t="s">
        <v>1702</v>
      </c>
      <c r="EJ1" t="s">
        <v>1699</v>
      </c>
      <c r="EK1" t="s">
        <v>1700</v>
      </c>
      <c r="EL1" t="s">
        <v>1701</v>
      </c>
      <c r="EM1" t="s">
        <v>1706</v>
      </c>
      <c r="EN1" t="s">
        <v>1703</v>
      </c>
      <c r="EO1" t="s">
        <v>1704</v>
      </c>
      <c r="EP1" t="s">
        <v>1705</v>
      </c>
      <c r="EQ1" t="s">
        <v>1712</v>
      </c>
      <c r="ER1" t="s">
        <v>1713</v>
      </c>
      <c r="ES1" t="s">
        <v>1714</v>
      </c>
      <c r="ET1" t="s">
        <v>1715</v>
      </c>
      <c r="EU1" t="s">
        <v>1716</v>
      </c>
      <c r="EV1" t="s">
        <v>1717</v>
      </c>
      <c r="EW1" t="s">
        <v>1711</v>
      </c>
    </row>
    <row r="2" spans="1:153">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Q5a_B_MinLayer</f>
        <v>0</v>
      </c>
      <c r="R2">
        <f>Q5a_B_MaxLayer</f>
        <v>0</v>
      </c>
      <c r="S2">
        <f>Q5a_C_PE_YN</f>
        <v>0</v>
      </c>
      <c r="T2">
        <f>Q5a_C_PE_Activities</f>
        <v>0</v>
      </c>
      <c r="U2">
        <f>Q5a_C_PE_Activities_Explain</f>
        <v>0</v>
      </c>
      <c r="V2">
        <f>Q5a_C_PE_Sectors</f>
        <v>0</v>
      </c>
      <c r="W2">
        <f>Q5a_C_PE_Sectors_Explain</f>
        <v>0</v>
      </c>
      <c r="X2">
        <f>Q5a_Comment</f>
        <v>0</v>
      </c>
      <c r="Y2">
        <f>Q5b_B_Max_Layers</f>
        <v>0</v>
      </c>
      <c r="Z2">
        <f>Q5b_B_Max_Layers_Explain</f>
        <v>0</v>
      </c>
      <c r="AA2">
        <f>Q5b_B_Max_Lamin</f>
        <v>0</v>
      </c>
      <c r="AB2">
        <f>Q5b_B_Max_Lamin_Explain</f>
        <v>0</v>
      </c>
      <c r="AC2">
        <f>Q5b_B_Max_Imped</f>
        <v>0</v>
      </c>
      <c r="AD2">
        <f>Q5b_B_Max_Imped_Explain</f>
        <v>0</v>
      </c>
      <c r="AE2">
        <f>Q5b_B_Max_Stacked</f>
        <v>0</v>
      </c>
      <c r="AF2">
        <f>Q5b_B_Max_Stacked_Explain</f>
        <v>0</v>
      </c>
      <c r="AG2">
        <f>Q5b_B_Max_Staggered</f>
        <v>0</v>
      </c>
      <c r="AH2">
        <f>Q5b_B_Max_Staggered_Explain</f>
        <v>0</v>
      </c>
      <c r="AI2">
        <f>Q5b_C_ViaFill_Facility_YN</f>
        <v>0</v>
      </c>
      <c r="AJ2">
        <f>Q5b_C_ViaFill_Facility_Process</f>
        <v>0</v>
      </c>
      <c r="AK2">
        <f>Q5b_C_ViaFill_Facility_Explain</f>
        <v>0</v>
      </c>
      <c r="AL2">
        <f>Q5b_C_ViaFill_OwnUS_YN</f>
        <v>0</v>
      </c>
      <c r="AM2">
        <f>Q5b_C_ViaFill_OwnUS_Process</f>
        <v>0</v>
      </c>
      <c r="AN2">
        <f>Q5b_C_ViaFill_OwnUS_Explain</f>
        <v>0</v>
      </c>
      <c r="AO2">
        <f>Q5b_C_ViaFill_OwnNonUS_YN</f>
        <v>0</v>
      </c>
      <c r="AP2">
        <f>Q5b_C_ViaFill_OwnNonUS_Process</f>
        <v>0</v>
      </c>
      <c r="AQ2">
        <f>Q5b_C_ViaFill_OwnNonUS_Explain</f>
        <v>0</v>
      </c>
      <c r="AR2">
        <f>Q5b_C_ViaFill_OtherUS_YN</f>
        <v>0</v>
      </c>
      <c r="AS2">
        <f>Q5b_C_ViaFill_OtherUS_Process</f>
        <v>0</v>
      </c>
      <c r="AT2">
        <f>Q5b_C_ViaFill_OtherUS_Explain</f>
        <v>0</v>
      </c>
      <c r="AU2">
        <f>Q5b_C_ViaFill_OtherNonUS_YN</f>
        <v>0</v>
      </c>
      <c r="AV2">
        <f>Q5b_C_ViaFill_OtherNonUS_Process</f>
        <v>0</v>
      </c>
      <c r="AW2">
        <f>Q5b_C_ViaFill_OtherNonUS_Explain</f>
        <v>0</v>
      </c>
      <c r="AX2">
        <f>Q5b_D_Etchback</f>
        <v>0</v>
      </c>
      <c r="AY2">
        <f>Q5b_D_Plasma</f>
        <v>0</v>
      </c>
      <c r="AZ2">
        <f>Q5b_D_Drill_Laser</f>
        <v>0</v>
      </c>
      <c r="BA2">
        <f>Q5b_D_ChemSmear</f>
        <v>0</v>
      </c>
      <c r="BB2">
        <f>Q5b_D_Laser</f>
        <v>0</v>
      </c>
      <c r="BC2">
        <f>Q5b_D_Drill_Through</f>
        <v>0</v>
      </c>
      <c r="BD2">
        <f>Q5b_D_SolidCopper</f>
        <v>0</v>
      </c>
      <c r="BE2">
        <f>Q5b_D_Nonconduct</f>
        <v>0</v>
      </c>
      <c r="BF2">
        <f>Q5b_D_Drill_Controlled</f>
        <v>0</v>
      </c>
      <c r="BG2">
        <f>Q5b_Comment</f>
        <v>0</v>
      </c>
      <c r="BH2">
        <f>Q5c_B_TRB_YN</f>
        <v>0</v>
      </c>
      <c r="BI2">
        <f>Q5c_B_TRB_Explain</f>
        <v>0</v>
      </c>
      <c r="BJ2">
        <f>Q5c_C_InspectMethod</f>
        <v>0</v>
      </c>
      <c r="BK2">
        <f>Q5c_C_AS9102</f>
        <v>0</v>
      </c>
      <c r="BL2">
        <f>Q5c_C_Explain</f>
        <v>0</v>
      </c>
      <c r="BM2">
        <f>Q5c_D_Flying</f>
        <v>0</v>
      </c>
      <c r="BN2">
        <f>Q5c_D_Impedance</f>
        <v>0</v>
      </c>
      <c r="BO2">
        <f>Q5c_D_Nails</f>
        <v>0</v>
      </c>
      <c r="BP2">
        <f>Q5c_D_Interconnect</f>
        <v>0</v>
      </c>
      <c r="BQ2">
        <f>Q5c_D_Isolation</f>
        <v>0</v>
      </c>
      <c r="BR2">
        <f>Q5c_D_HAST</f>
        <v>0</v>
      </c>
      <c r="BS2">
        <f>Q5c_D_Continuity</f>
        <v>0</v>
      </c>
      <c r="BT2">
        <f>Q5c_D_HALT</f>
        <v>0</v>
      </c>
      <c r="BU2">
        <f>Q5c_D_TestAllNoPhase</f>
        <v>0</v>
      </c>
      <c r="BV2">
        <f>Q5c_D_HATS</f>
        <v>0</v>
      </c>
      <c r="BW2">
        <f>Q5c_E_StatProcessCtrl</f>
        <v>0</v>
      </c>
      <c r="BX2">
        <f>Q5c_E_MRP</f>
        <v>0</v>
      </c>
      <c r="BY2">
        <f>Q5c_Comment</f>
        <v>0</v>
      </c>
      <c r="BZ2">
        <f>Q5d_A_Layers_2012</f>
        <v>0</v>
      </c>
      <c r="CA2">
        <f>Q5d_A_Layers_2013</f>
        <v>0</v>
      </c>
      <c r="CB2">
        <f>Q5d_A_Layers_2014</f>
        <v>0</v>
      </c>
      <c r="CC2">
        <f>Q5d_A_Layers_2015</f>
        <v>0</v>
      </c>
      <c r="CD2">
        <f>Q5d_A_Panels_2012</f>
        <v>0</v>
      </c>
      <c r="CE2">
        <f>Q5d_A_Panels_2013</f>
        <v>0</v>
      </c>
      <c r="CF2">
        <f>Q5d_A_Panels_2014</f>
        <v>0</v>
      </c>
      <c r="CG2">
        <f>Q5d_A_Panels_2015</f>
        <v>0</v>
      </c>
      <c r="CH2">
        <f>Q5d_B_24x36</f>
        <v>0</v>
      </c>
      <c r="CI2">
        <f>Q5d_B_24x30</f>
        <v>0</v>
      </c>
      <c r="CJ2">
        <f>Q5d_B_21x24</f>
        <v>0</v>
      </c>
      <c r="CK2">
        <f>Q5d_B_18x24</f>
        <v>0</v>
      </c>
      <c r="CL2">
        <f>Q5d_B_12x24</f>
        <v>0</v>
      </c>
      <c r="CM2">
        <f>Q5d_B_12x18</f>
        <v>0</v>
      </c>
      <c r="CN2">
        <f>Q5d_B_9x12</f>
        <v>0</v>
      </c>
      <c r="CO2">
        <f>Q5d_B_Other</f>
        <v>0</v>
      </c>
      <c r="CP2">
        <f>Q5d_B_Comments</f>
        <v>0</v>
      </c>
      <c r="CQ2">
        <f>Q5d_C_Capacity_Layers</f>
        <v>0</v>
      </c>
      <c r="CR2">
        <f>Q5d_C_Capacity_Panels</f>
        <v>0</v>
      </c>
      <c r="CS2">
        <f>Q5d_D_ProdShift_Current</f>
        <v>0</v>
      </c>
      <c r="CT2">
        <f>Q5d_D_ProdShift_Possible</f>
        <v>0</v>
      </c>
      <c r="CU2">
        <f>Q5d_D_FrontEndShift_Current</f>
        <v>0</v>
      </c>
      <c r="CV2">
        <f>Q5d_D_FrontEndShift_Possible</f>
        <v>0</v>
      </c>
      <c r="CW2">
        <f>Q5d_D_Explain</f>
        <v>0</v>
      </c>
      <c r="CX2">
        <f>Q5d_E_Utilization_2012</f>
        <v>0</v>
      </c>
      <c r="CY2">
        <f>Q5d_E_Utilization_2013</f>
        <v>0</v>
      </c>
      <c r="CZ2">
        <f>Q5d_E_Utilization_2014</f>
        <v>0</v>
      </c>
      <c r="DA2">
        <f>Q5d_E_Utilization_2015</f>
        <v>0</v>
      </c>
      <c r="DB2">
        <f>Q5d_F_Weeksto100</f>
        <v>0</v>
      </c>
      <c r="DC2">
        <f>Q5d_F_Weeksto150</f>
        <v>0</v>
      </c>
      <c r="DD2">
        <f>Q5d_F_Explain</f>
        <v>0</v>
      </c>
      <c r="DE2">
        <f>Q5d_G_AmountEq_100</f>
        <v>0</v>
      </c>
      <c r="DF2">
        <f>Q5d_G_AmountEq_150</f>
        <v>0</v>
      </c>
      <c r="DG2">
        <f>Q5d_G_AmountEq_Explain</f>
        <v>0</v>
      </c>
      <c r="DH2">
        <f>Q5d_G_AvailEq_100</f>
        <v>0</v>
      </c>
      <c r="DI2">
        <f>Q5d_G_AvailEq_150</f>
        <v>0</v>
      </c>
      <c r="DJ2">
        <f>Q5d_G_AvailEq_Explain</f>
        <v>0</v>
      </c>
      <c r="DK2">
        <f>Q5d_G_Space_100</f>
        <v>0</v>
      </c>
      <c r="DL2">
        <f>Q5d_G_Space_150</f>
        <v>0</v>
      </c>
      <c r="DM2">
        <f>Q5d_G_Space_Explain</f>
        <v>0</v>
      </c>
      <c r="DN2">
        <f>Q5d_G_Labor_100</f>
        <v>0</v>
      </c>
      <c r="DO2">
        <f>Q5d_G_Labor_150</f>
        <v>0</v>
      </c>
      <c r="DP2">
        <f>Q5d_G_Labor_Explain</f>
        <v>0</v>
      </c>
      <c r="DQ2">
        <f>Q5d_G_QC_100</f>
        <v>0</v>
      </c>
      <c r="DR2">
        <f>Q5d_G_QC_150</f>
        <v>0</v>
      </c>
      <c r="DS2">
        <f>Q5d_G_QC_Explain</f>
        <v>0</v>
      </c>
      <c r="DT2">
        <f>Q5d_G_AvailInput_100</f>
        <v>0</v>
      </c>
      <c r="DU2">
        <f>Q5d_G_AvailInput_150</f>
        <v>0</v>
      </c>
      <c r="DV2">
        <f>Q5d_G_AvailInput_Explain</f>
        <v>0</v>
      </c>
      <c r="DW2">
        <f>Q5d_G_Other_100</f>
        <v>0</v>
      </c>
      <c r="DX2">
        <f>Q5d_G_Other_150</f>
        <v>0</v>
      </c>
      <c r="DY2">
        <f>Q5d_G_Other_Explain</f>
        <v>0</v>
      </c>
      <c r="DZ2">
        <f>Q5d_Comment</f>
        <v>0</v>
      </c>
      <c r="EA2">
        <f>Q5e_B_FrontEnd_Comm_Change</f>
        <v>0</v>
      </c>
      <c r="EB2">
        <f>Q5e_B_FrontEnd_Comm_Explain</f>
        <v>0</v>
      </c>
      <c r="EC2">
        <f>Q5e_B_FrontEnd_Def_Change</f>
        <v>0</v>
      </c>
      <c r="ED2">
        <f>Q5e_B_FrontEnd_Def_Explain</f>
        <v>0</v>
      </c>
      <c r="EE2">
        <f>Q5e_C_OwnFrontEnd</f>
        <v>0</v>
      </c>
      <c r="EF2">
        <f>Q5e_C_ProvideFrontEnd</f>
        <v>0</v>
      </c>
      <c r="EG2">
        <f>Q5e_C_OutsourceFrontEnd</f>
        <v>0</v>
      </c>
      <c r="EH2">
        <f>Q5e_C_OutsourceFrontEnd_Notify</f>
        <v>0</v>
      </c>
      <c r="EI2">
        <f>Q5e_C_Outsource_Comm_YN</f>
        <v>0</v>
      </c>
      <c r="EJ2">
        <f>Q5e_C_Outsource_Comm_Country1</f>
        <v>0</v>
      </c>
      <c r="EK2">
        <f>Q5e_C_Outsource_Comm_Country2</f>
        <v>0</v>
      </c>
      <c r="EL2">
        <f>Q5e_C_Outsource_Comm_Country3</f>
        <v>0</v>
      </c>
      <c r="EM2">
        <f>Q5e_C_Outsource_Def_YN</f>
        <v>0</v>
      </c>
      <c r="EN2">
        <f>Q5e_C_Outsource_Def_Country1</f>
        <v>0</v>
      </c>
      <c r="EO2">
        <f>Q5e_C_Outsource_Def_Country2</f>
        <v>0</v>
      </c>
      <c r="EP2">
        <f>Q5e_C_Outsource_Def_Country3</f>
        <v>0</v>
      </c>
      <c r="EQ2">
        <f>Q5e_D_Bottleneck1</f>
        <v>0</v>
      </c>
      <c r="ER2">
        <f>Q5e_D_Bottleneck1_Explain</f>
        <v>0</v>
      </c>
      <c r="ES2">
        <f>Q5e_D_Bottleneck2</f>
        <v>0</v>
      </c>
      <c r="ET2">
        <f>Q5e_D_Bottleneck2_Explain</f>
        <v>0</v>
      </c>
      <c r="EU2">
        <f>Q5e_D_Bottleneck3</f>
        <v>0</v>
      </c>
      <c r="EV2">
        <f>Q5e_D_Bottleneck3_Explain</f>
        <v>0</v>
      </c>
      <c r="EW2">
        <f>Q5e_Comment</f>
        <v>0</v>
      </c>
    </row>
    <row r="5" spans="1:153">
      <c r="X5" s="588"/>
    </row>
    <row r="6" spans="1:153">
      <c r="X6" s="588"/>
    </row>
    <row r="7" spans="1:153">
      <c r="X7" s="588"/>
    </row>
    <row r="8" spans="1:153">
      <c r="X8" s="588"/>
    </row>
    <row r="9" spans="1:153">
      <c r="X9" s="588"/>
    </row>
    <row r="10" spans="1:153">
      <c r="X10" s="588"/>
    </row>
    <row r="11" spans="1:153">
      <c r="X11" s="588"/>
    </row>
    <row r="12" spans="1:153">
      <c r="X12" s="588"/>
    </row>
    <row r="13" spans="1:153">
      <c r="X13" s="588"/>
    </row>
    <row r="14" spans="1:153">
      <c r="X14" s="588"/>
    </row>
    <row r="15" spans="1:153">
      <c r="X15" s="588"/>
    </row>
    <row r="16" spans="1:153">
      <c r="X16" s="588"/>
    </row>
    <row r="17" spans="24:24">
      <c r="X17" s="588"/>
    </row>
    <row r="18" spans="24:24">
      <c r="X18" s="588"/>
    </row>
    <row r="19" spans="24:24">
      <c r="X19" s="588"/>
    </row>
    <row r="20" spans="24:24">
      <c r="X20" s="588"/>
    </row>
    <row r="21" spans="24:24">
      <c r="X21" s="588"/>
    </row>
    <row r="22" spans="24:24">
      <c r="X22" s="588"/>
    </row>
    <row r="23" spans="24:24">
      <c r="X23" s="588"/>
    </row>
    <row r="24" spans="24:24">
      <c r="X24" s="588"/>
    </row>
    <row r="25" spans="24:24">
      <c r="X25" s="588"/>
    </row>
    <row r="26" spans="24:24">
      <c r="X26" s="588"/>
    </row>
    <row r="27" spans="24:24">
      <c r="X27" s="588"/>
    </row>
    <row r="28" spans="24:24">
      <c r="X28" s="588"/>
    </row>
    <row r="29" spans="24:24">
      <c r="X29" s="588"/>
    </row>
    <row r="30" spans="24:24">
      <c r="X30" s="588"/>
    </row>
    <row r="31" spans="24:24">
      <c r="X31" s="588"/>
    </row>
    <row r="32" spans="24:24">
      <c r="X32" s="588"/>
    </row>
    <row r="33" spans="24:24">
      <c r="X33" s="588"/>
    </row>
    <row r="34" spans="24:24">
      <c r="X34" s="588"/>
    </row>
    <row r="35" spans="24:24">
      <c r="X35" s="588"/>
    </row>
    <row r="36" spans="24:24">
      <c r="X36" s="588"/>
    </row>
    <row r="37" spans="24:24">
      <c r="X37" s="588"/>
    </row>
    <row r="38" spans="24:24">
      <c r="X38" s="588"/>
    </row>
    <row r="39" spans="24:24">
      <c r="X39" s="588"/>
    </row>
    <row r="40" spans="24:24">
      <c r="X40" s="588"/>
    </row>
    <row r="41" spans="24:24">
      <c r="X41" s="588"/>
    </row>
    <row r="42" spans="24:24">
      <c r="X42" s="588"/>
    </row>
    <row r="43" spans="24:24">
      <c r="X43" s="588"/>
    </row>
    <row r="44" spans="24:24">
      <c r="X44" s="588"/>
    </row>
    <row r="45" spans="24:24">
      <c r="X45" s="588"/>
    </row>
    <row r="46" spans="24:24">
      <c r="X46" s="588"/>
    </row>
    <row r="47" spans="24:24">
      <c r="X47" s="588"/>
    </row>
    <row r="48" spans="24:24">
      <c r="X48" s="588"/>
    </row>
    <row r="49" spans="24:24">
      <c r="X49" s="588"/>
    </row>
    <row r="50" spans="24:24">
      <c r="X50" s="588"/>
    </row>
    <row r="51" spans="24:24">
      <c r="X51" s="588"/>
    </row>
    <row r="52" spans="24:24">
      <c r="X52" s="588"/>
    </row>
    <row r="53" spans="24:24">
      <c r="X53" s="588"/>
    </row>
    <row r="54" spans="24:24">
      <c r="X54" s="588"/>
    </row>
    <row r="55" spans="24:24">
      <c r="X55" s="588"/>
    </row>
    <row r="56" spans="24:24">
      <c r="X56" s="588"/>
    </row>
    <row r="57" spans="24:24">
      <c r="X57" s="588"/>
    </row>
    <row r="58" spans="24:24">
      <c r="X58" s="588"/>
    </row>
    <row r="59" spans="24:24">
      <c r="X59" s="588"/>
    </row>
    <row r="60" spans="24:24">
      <c r="X60" s="588"/>
    </row>
    <row r="61" spans="24:24">
      <c r="X61" s="588"/>
    </row>
    <row r="62" spans="24:24">
      <c r="X62" s="588"/>
    </row>
    <row r="63" spans="24:24">
      <c r="X63" s="588"/>
    </row>
    <row r="64" spans="24:24">
      <c r="X64" s="588"/>
    </row>
    <row r="65" spans="24:24">
      <c r="X65" s="588"/>
    </row>
    <row r="66" spans="24:24">
      <c r="X66" s="588"/>
    </row>
    <row r="67" spans="24:24">
      <c r="X67" s="588"/>
    </row>
    <row r="68" spans="24:24">
      <c r="X68" s="588"/>
    </row>
    <row r="69" spans="24:24">
      <c r="X69" s="588"/>
    </row>
    <row r="70" spans="24:24">
      <c r="X70" s="588"/>
    </row>
    <row r="71" spans="24:24">
      <c r="X71" s="588"/>
    </row>
    <row r="72" spans="24:24">
      <c r="X72" s="588"/>
    </row>
    <row r="73" spans="24:24">
      <c r="X73" s="588"/>
    </row>
    <row r="74" spans="24:24">
      <c r="X74" s="588"/>
    </row>
    <row r="75" spans="24:24">
      <c r="X75" s="588"/>
    </row>
    <row r="76" spans="24:24">
      <c r="X76" s="588"/>
    </row>
    <row r="77" spans="24:24">
      <c r="X77" s="588"/>
    </row>
    <row r="78" spans="24:24">
      <c r="X78" s="588"/>
    </row>
    <row r="79" spans="24:24">
      <c r="X79" s="588"/>
    </row>
    <row r="80" spans="24:24">
      <c r="X80" s="588"/>
    </row>
    <row r="81" spans="24:24">
      <c r="X81" s="588"/>
    </row>
    <row r="82" spans="24:24">
      <c r="X82" s="588"/>
    </row>
    <row r="83" spans="24:24">
      <c r="X83" s="588"/>
    </row>
    <row r="84" spans="24:24">
      <c r="X84" s="588"/>
    </row>
    <row r="85" spans="24:24">
      <c r="X85" s="588"/>
    </row>
    <row r="86" spans="24:24">
      <c r="X86" s="588"/>
    </row>
    <row r="87" spans="24:24">
      <c r="X87" s="588"/>
    </row>
    <row r="88" spans="24:24">
      <c r="X88" s="588"/>
    </row>
    <row r="89" spans="24:24">
      <c r="X89" s="588"/>
    </row>
    <row r="90" spans="24:24">
      <c r="X90" s="588"/>
    </row>
    <row r="91" spans="24:24">
      <c r="X91" s="588"/>
    </row>
    <row r="92" spans="24:24">
      <c r="X92" s="588"/>
    </row>
    <row r="93" spans="24:24">
      <c r="X93" s="588"/>
    </row>
    <row r="94" spans="24:24">
      <c r="X94" s="588"/>
    </row>
    <row r="95" spans="24:24">
      <c r="X95" s="588"/>
    </row>
    <row r="96" spans="24:24">
      <c r="X96" s="588"/>
    </row>
    <row r="97" spans="24:24">
      <c r="X97" s="588"/>
    </row>
    <row r="98" spans="24:24">
      <c r="X98" s="588"/>
    </row>
    <row r="99" spans="24:24">
      <c r="X99" s="588"/>
    </row>
    <row r="100" spans="24:24">
      <c r="X100" s="588"/>
    </row>
    <row r="101" spans="24:24">
      <c r="X101" s="588"/>
    </row>
    <row r="102" spans="24:24">
      <c r="X102" s="588"/>
    </row>
    <row r="103" spans="24:24">
      <c r="X103" s="588"/>
    </row>
    <row r="104" spans="24:24">
      <c r="X104" s="588"/>
    </row>
    <row r="105" spans="24:24">
      <c r="X105" s="588"/>
    </row>
    <row r="106" spans="24:24">
      <c r="X106" s="588"/>
    </row>
    <row r="107" spans="24:24">
      <c r="X107" s="588"/>
    </row>
    <row r="108" spans="24:24">
      <c r="X108" s="588"/>
    </row>
    <row r="109" spans="24:24">
      <c r="X109" s="588"/>
    </row>
    <row r="110" spans="24:24">
      <c r="X110" s="588"/>
    </row>
    <row r="111" spans="24:24">
      <c r="X111" s="588"/>
    </row>
    <row r="112" spans="24:24">
      <c r="X112" s="588"/>
    </row>
    <row r="113" spans="24:24">
      <c r="X113" s="588"/>
    </row>
    <row r="114" spans="24:24">
      <c r="X114" s="588"/>
    </row>
    <row r="115" spans="24:24">
      <c r="X115" s="588"/>
    </row>
    <row r="116" spans="24:24">
      <c r="X116" s="588"/>
    </row>
    <row r="117" spans="24:24">
      <c r="X117" s="588"/>
    </row>
    <row r="118" spans="24:24">
      <c r="X118" s="588"/>
    </row>
    <row r="119" spans="24:24">
      <c r="X119" s="588"/>
    </row>
    <row r="120" spans="24:24">
      <c r="X120" s="588"/>
    </row>
    <row r="121" spans="24:24">
      <c r="X121" s="588"/>
    </row>
    <row r="122" spans="24:24">
      <c r="X122" s="588"/>
    </row>
    <row r="123" spans="24:24">
      <c r="X123" s="588"/>
    </row>
    <row r="124" spans="24:24">
      <c r="X124" s="588"/>
    </row>
    <row r="125" spans="24:24">
      <c r="X125" s="588"/>
    </row>
    <row r="126" spans="24:24">
      <c r="X126" s="588"/>
    </row>
    <row r="127" spans="24:24">
      <c r="X127" s="588"/>
    </row>
    <row r="128" spans="24:24">
      <c r="X128" s="588"/>
    </row>
    <row r="129" spans="24:24">
      <c r="X129" s="588"/>
    </row>
    <row r="130" spans="24:24">
      <c r="X130" s="588"/>
    </row>
    <row r="131" spans="24:24">
      <c r="X131" s="588"/>
    </row>
    <row r="132" spans="24:24">
      <c r="X132" s="588"/>
    </row>
    <row r="133" spans="24:24">
      <c r="X133" s="588"/>
    </row>
    <row r="134" spans="24:24">
      <c r="X134" s="588"/>
    </row>
    <row r="135" spans="24:24">
      <c r="X135" s="588"/>
    </row>
    <row r="136" spans="24:24">
      <c r="X136" s="588"/>
    </row>
    <row r="137" spans="24:24">
      <c r="X137" s="588"/>
    </row>
    <row r="138" spans="24:24">
      <c r="X138" s="588"/>
    </row>
    <row r="139" spans="24:24">
      <c r="X139" s="588"/>
    </row>
    <row r="140" spans="24:24">
      <c r="X140" s="588"/>
    </row>
    <row r="141" spans="24:24">
      <c r="X141" s="588"/>
    </row>
    <row r="246" spans="24:24">
      <c r="X246" s="58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
  <sheetViews>
    <sheetView showGridLines="0" showRowColHeaders="0" zoomScaleNormal="100" workbookViewId="0"/>
  </sheetViews>
  <sheetFormatPr defaultColWidth="8.85546875" defaultRowHeight="12.75"/>
  <cols>
    <col min="1" max="1" width="8.85546875" style="132"/>
    <col min="2" max="3" width="3.85546875" style="132" customWidth="1"/>
    <col min="4" max="4" width="22.7109375" style="132" customWidth="1"/>
    <col min="5" max="5" width="23" style="132" customWidth="1"/>
    <col min="6" max="6" width="31.7109375" style="132" customWidth="1"/>
    <col min="7" max="9" width="13.140625" style="132" customWidth="1"/>
    <col min="10" max="252" width="8.85546875" style="132"/>
    <col min="253" max="253" width="3.85546875" style="132" customWidth="1"/>
    <col min="254" max="16384" width="8.85546875" style="132"/>
  </cols>
  <sheetData>
    <row r="1" spans="2:9" ht="13.5" thickBot="1"/>
    <row r="2" spans="2:9" ht="13.5" customHeight="1" thickBot="1">
      <c r="B2" s="744" t="s">
        <v>487</v>
      </c>
      <c r="C2" s="745"/>
      <c r="D2" s="745"/>
      <c r="E2" s="657" t="s">
        <v>1204</v>
      </c>
      <c r="F2" s="657"/>
      <c r="G2" s="657"/>
      <c r="H2" s="248"/>
      <c r="I2" s="113" t="s">
        <v>486</v>
      </c>
    </row>
    <row r="3" spans="2:9" ht="13.5" customHeight="1" thickBot="1">
      <c r="B3" s="746" t="s">
        <v>903</v>
      </c>
      <c r="C3" s="747"/>
      <c r="D3" s="747"/>
      <c r="E3" s="747"/>
      <c r="F3" s="747"/>
      <c r="G3" s="747"/>
      <c r="H3" s="747"/>
      <c r="I3" s="748"/>
    </row>
    <row r="4" spans="2:9" ht="27" customHeight="1" thickBot="1">
      <c r="B4" s="412" t="s">
        <v>5</v>
      </c>
      <c r="C4" s="750" t="s">
        <v>904</v>
      </c>
      <c r="D4" s="731"/>
      <c r="E4" s="731"/>
      <c r="F4" s="731"/>
      <c r="G4" s="751"/>
      <c r="H4" s="728"/>
      <c r="I4" s="749"/>
    </row>
    <row r="5" spans="2:9" ht="25.5">
      <c r="B5" s="742" t="s">
        <v>6</v>
      </c>
      <c r="C5" s="736"/>
      <c r="D5" s="737"/>
      <c r="E5" s="737"/>
      <c r="F5" s="738"/>
      <c r="G5" s="413" t="s">
        <v>905</v>
      </c>
      <c r="H5" s="414" t="s">
        <v>906</v>
      </c>
      <c r="I5" s="415" t="s">
        <v>907</v>
      </c>
    </row>
    <row r="6" spans="2:9" ht="32.25" customHeight="1">
      <c r="B6" s="743"/>
      <c r="C6" s="739" t="s">
        <v>1355</v>
      </c>
      <c r="D6" s="740"/>
      <c r="E6" s="740"/>
      <c r="F6" s="741"/>
      <c r="G6" s="418"/>
      <c r="H6" s="418"/>
      <c r="I6" s="419"/>
    </row>
    <row r="7" spans="2:9" ht="13.5" thickBot="1">
      <c r="B7" s="732"/>
      <c r="C7" s="733"/>
      <c r="D7" s="734"/>
      <c r="E7" s="734"/>
      <c r="F7" s="734"/>
      <c r="G7" s="734"/>
      <c r="H7" s="734"/>
      <c r="I7" s="735"/>
    </row>
    <row r="8" spans="2:9" ht="117.75" customHeight="1" thickBot="1">
      <c r="B8" s="730" t="s">
        <v>1356</v>
      </c>
      <c r="C8" s="731"/>
      <c r="D8" s="731"/>
      <c r="E8" s="731"/>
      <c r="F8" s="731"/>
      <c r="G8" s="731"/>
      <c r="H8" s="728"/>
      <c r="I8" s="729"/>
    </row>
    <row r="9" spans="2:9">
      <c r="B9" s="249"/>
      <c r="C9" s="251"/>
      <c r="D9" s="416"/>
      <c r="E9" s="416"/>
      <c r="F9" s="416"/>
      <c r="G9" s="416"/>
      <c r="H9" s="416"/>
      <c r="I9" s="250"/>
    </row>
    <row r="10" spans="2:9" ht="13.5" thickBot="1">
      <c r="B10" s="725" t="s">
        <v>4</v>
      </c>
      <c r="C10" s="726"/>
      <c r="D10" s="726"/>
      <c r="E10" s="726"/>
      <c r="F10" s="726"/>
      <c r="G10" s="726"/>
      <c r="H10" s="726"/>
      <c r="I10" s="727"/>
    </row>
  </sheetData>
  <sheetProtection password="C288" sheet="1"/>
  <mergeCells count="12">
    <mergeCell ref="E2:G2"/>
    <mergeCell ref="B2:D2"/>
    <mergeCell ref="B3:I3"/>
    <mergeCell ref="H4:I4"/>
    <mergeCell ref="C4:G4"/>
    <mergeCell ref="B10:I10"/>
    <mergeCell ref="H8:I8"/>
    <mergeCell ref="B8:G8"/>
    <mergeCell ref="B7:I7"/>
    <mergeCell ref="C5:F5"/>
    <mergeCell ref="C6:F6"/>
    <mergeCell ref="B5:B6"/>
  </mergeCells>
  <dataValidations count="3">
    <dataValidation type="list" allowBlank="1" showInputMessage="1" showErrorMessage="1" errorTitle="Invalid Choice" error="Select an option from the dropdown menu." sqref="G6:I6">
      <formula1>YesNo</formula1>
    </dataValidation>
    <dataValidation type="list" allowBlank="1" showInputMessage="1" showErrorMessage="1" errorTitle="Invalid Choice" error="Select an option from the dropdown menu." sqref="H4:I4">
      <formula1>OrgDesc</formula1>
    </dataValidation>
    <dataValidation type="list" allowBlank="1" showInputMessage="1" showErrorMessage="1" errorTitle="Invalid Choice" error="Select an option from the dropdown menu." sqref="H8:I8">
      <formula1>RespType</formula1>
    </dataValidation>
  </dataValidations>
  <hyperlinks>
    <hyperlink ref="I2" location="'1a'!A1" tooltip="Organization Information" display="Next Page"/>
    <hyperlink ref="B2:D2" location="Definitions!A1" tooltip="Definitions" display="Previous Page"/>
    <hyperlink ref="E2:G2" location="'Table of Contents'!A1" tooltip="Table of Contents" display="Return to Table of Contents"/>
  </hyperlinks>
  <pageMargins left="0.25" right="0.25" top="0.75" bottom="0.75" header="0.3" footer="0.3"/>
  <pageSetup scale="98" orientation="landscape" cellComments="atEnd" verticalDpi="0" r:id="rId1"/>
  <headerFooter>
    <oddHeader>&amp;F</oddHeader>
    <oddFooter>Page &amp;P of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zoomScale="85" zoomScaleNormal="85" workbookViewId="0">
      <selection activeCell="A2" sqref="A2:P2"/>
    </sheetView>
  </sheetViews>
  <sheetFormatPr defaultRowHeight="15"/>
  <cols>
    <col min="17" max="17" width="20" customWidth="1"/>
  </cols>
  <sheetData>
    <row r="1" spans="1:25">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750</v>
      </c>
      <c r="R1" t="s">
        <v>1160</v>
      </c>
      <c r="S1" t="s">
        <v>752</v>
      </c>
      <c r="T1" t="s">
        <v>766</v>
      </c>
      <c r="V1" s="591" t="s">
        <v>1819</v>
      </c>
      <c r="W1" t="s">
        <v>1818</v>
      </c>
      <c r="X1" t="s">
        <v>1291</v>
      </c>
      <c r="Y1" t="s">
        <v>1718</v>
      </c>
    </row>
    <row r="2" spans="1:25">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937</v>
      </c>
      <c r="R2">
        <f>'6a'!F7</f>
        <v>0</v>
      </c>
      <c r="S2">
        <f>'6a'!G7</f>
        <v>0</v>
      </c>
      <c r="T2">
        <f>'6a'!H7</f>
        <v>0</v>
      </c>
      <c r="U2">
        <f>'6a'!I7</f>
        <v>0</v>
      </c>
      <c r="V2" s="591">
        <f>'6a'!J7</f>
        <v>1</v>
      </c>
      <c r="W2">
        <f>'6a'!K7</f>
        <v>0</v>
      </c>
      <c r="X2">
        <f>'6a'!L7</f>
        <v>0</v>
      </c>
      <c r="Y2">
        <f>Q6a_Comment</f>
        <v>0</v>
      </c>
    </row>
    <row r="3" spans="1:25">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937</v>
      </c>
      <c r="R3" t="s">
        <v>1789</v>
      </c>
      <c r="S3" t="s">
        <v>1789</v>
      </c>
      <c r="T3" t="s">
        <v>1789</v>
      </c>
      <c r="U3" t="s">
        <v>1789</v>
      </c>
      <c r="V3" s="591">
        <f>'6a'!J8</f>
        <v>2</v>
      </c>
      <c r="W3">
        <f>'6a'!K8</f>
        <v>0</v>
      </c>
      <c r="X3">
        <f>'6a'!L8</f>
        <v>0</v>
      </c>
      <c r="Y3" t="s">
        <v>1789</v>
      </c>
    </row>
    <row r="4" spans="1:25">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938</v>
      </c>
      <c r="R4">
        <f>'6a'!F9</f>
        <v>0</v>
      </c>
      <c r="S4">
        <f>'6a'!G9</f>
        <v>0</v>
      </c>
      <c r="T4">
        <f>'6a'!H9</f>
        <v>0</v>
      </c>
      <c r="U4">
        <f>'6a'!I9</f>
        <v>0</v>
      </c>
      <c r="V4" s="591">
        <f>'6a'!J9</f>
        <v>1</v>
      </c>
      <c r="W4">
        <f>'6a'!K9</f>
        <v>0</v>
      </c>
      <c r="X4">
        <f>'6a'!L9</f>
        <v>0</v>
      </c>
      <c r="Y4" t="s">
        <v>1789</v>
      </c>
    </row>
    <row r="5" spans="1:25">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938</v>
      </c>
      <c r="R5" t="s">
        <v>1789</v>
      </c>
      <c r="S5" t="s">
        <v>1789</v>
      </c>
      <c r="T5" t="s">
        <v>1789</v>
      </c>
      <c r="U5" t="s">
        <v>1789</v>
      </c>
      <c r="V5" s="591">
        <f>'6a'!J10</f>
        <v>2</v>
      </c>
      <c r="W5">
        <f>'6a'!K10</f>
        <v>0</v>
      </c>
      <c r="X5">
        <f>'6a'!L10</f>
        <v>0</v>
      </c>
      <c r="Y5" t="s">
        <v>1789</v>
      </c>
    </row>
    <row r="6" spans="1:25">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939</v>
      </c>
      <c r="R6">
        <f>'6a'!F11</f>
        <v>0</v>
      </c>
      <c r="S6">
        <f>'6a'!G11</f>
        <v>0</v>
      </c>
      <c r="T6">
        <f>'6a'!H11</f>
        <v>0</v>
      </c>
      <c r="U6">
        <f>'6a'!I11</f>
        <v>0</v>
      </c>
      <c r="V6" s="591">
        <f>'6a'!J11</f>
        <v>1</v>
      </c>
      <c r="W6">
        <f>'6a'!K11</f>
        <v>0</v>
      </c>
      <c r="X6">
        <f>'6a'!L11</f>
        <v>0</v>
      </c>
      <c r="Y6" t="s">
        <v>1789</v>
      </c>
    </row>
    <row r="7" spans="1:25">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939</v>
      </c>
      <c r="R7" t="s">
        <v>1789</v>
      </c>
      <c r="S7" t="s">
        <v>1789</v>
      </c>
      <c r="T7" t="s">
        <v>1789</v>
      </c>
      <c r="U7" t="s">
        <v>1789</v>
      </c>
      <c r="V7" s="591">
        <f>'6a'!J12</f>
        <v>2</v>
      </c>
      <c r="W7">
        <f>'6a'!K12</f>
        <v>0</v>
      </c>
      <c r="X7">
        <f>'6a'!L12</f>
        <v>0</v>
      </c>
      <c r="Y7" t="s">
        <v>1789</v>
      </c>
    </row>
    <row r="8" spans="1:25">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753</v>
      </c>
      <c r="R8">
        <f>'6a'!F13</f>
        <v>0</v>
      </c>
      <c r="S8">
        <f>'6a'!G13</f>
        <v>0</v>
      </c>
      <c r="T8">
        <f>'6a'!H13</f>
        <v>0</v>
      </c>
      <c r="U8">
        <f>'6a'!I13</f>
        <v>0</v>
      </c>
      <c r="V8" s="591">
        <f>'6a'!J13</f>
        <v>1</v>
      </c>
      <c r="W8">
        <f>'6a'!K13</f>
        <v>0</v>
      </c>
      <c r="X8">
        <f>'6a'!L13</f>
        <v>0</v>
      </c>
      <c r="Y8" t="s">
        <v>1789</v>
      </c>
    </row>
    <row r="9" spans="1:25">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753</v>
      </c>
      <c r="R9" t="s">
        <v>1789</v>
      </c>
      <c r="S9" t="s">
        <v>1789</v>
      </c>
      <c r="T9" t="s">
        <v>1789</v>
      </c>
      <c r="U9" t="s">
        <v>1789</v>
      </c>
      <c r="V9" s="591">
        <f>'6a'!J14</f>
        <v>2</v>
      </c>
      <c r="W9">
        <f>'6a'!K14</f>
        <v>0</v>
      </c>
      <c r="X9">
        <f>'6a'!L14</f>
        <v>0</v>
      </c>
      <c r="Y9" t="s">
        <v>1789</v>
      </c>
    </row>
    <row r="10" spans="1:25">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754</v>
      </c>
      <c r="R10">
        <f>'6a'!F15</f>
        <v>0</v>
      </c>
      <c r="S10">
        <f>'6a'!G15</f>
        <v>0</v>
      </c>
      <c r="T10">
        <f>'6a'!H15</f>
        <v>0</v>
      </c>
      <c r="U10">
        <f>'6a'!I15</f>
        <v>0</v>
      </c>
      <c r="V10" s="591">
        <f>'6a'!J15</f>
        <v>1</v>
      </c>
      <c r="W10">
        <f>'6a'!K15</f>
        <v>0</v>
      </c>
      <c r="X10">
        <f>'6a'!L15</f>
        <v>0</v>
      </c>
      <c r="Y10" t="s">
        <v>1789</v>
      </c>
    </row>
    <row r="11" spans="1:25">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754</v>
      </c>
      <c r="R11" t="s">
        <v>1789</v>
      </c>
      <c r="S11" t="s">
        <v>1789</v>
      </c>
      <c r="T11" t="s">
        <v>1789</v>
      </c>
      <c r="U11" t="s">
        <v>1789</v>
      </c>
      <c r="V11" s="591">
        <f>'6a'!J16</f>
        <v>2</v>
      </c>
      <c r="W11">
        <f>'6a'!K16</f>
        <v>0</v>
      </c>
      <c r="X11">
        <f>'6a'!L16</f>
        <v>0</v>
      </c>
      <c r="Y11" t="s">
        <v>1789</v>
      </c>
    </row>
    <row r="12" spans="1:25">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755</v>
      </c>
      <c r="R12">
        <f>'6a'!F17</f>
        <v>0</v>
      </c>
      <c r="S12">
        <f>'6a'!G17</f>
        <v>0</v>
      </c>
      <c r="T12">
        <f>'6a'!H17</f>
        <v>0</v>
      </c>
      <c r="U12">
        <f>'6a'!I17</f>
        <v>0</v>
      </c>
      <c r="V12" s="591">
        <f>'6a'!J17</f>
        <v>1</v>
      </c>
      <c r="W12">
        <f>'6a'!K17</f>
        <v>0</v>
      </c>
      <c r="X12">
        <f>'6a'!L17</f>
        <v>0</v>
      </c>
      <c r="Y12" t="s">
        <v>1789</v>
      </c>
    </row>
    <row r="13" spans="1:25">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755</v>
      </c>
      <c r="R13" t="s">
        <v>1789</v>
      </c>
      <c r="S13" t="s">
        <v>1789</v>
      </c>
      <c r="T13" t="s">
        <v>1789</v>
      </c>
      <c r="U13" t="s">
        <v>1789</v>
      </c>
      <c r="V13" s="591">
        <f>'6a'!J18</f>
        <v>2</v>
      </c>
      <c r="W13">
        <f>'6a'!K18</f>
        <v>0</v>
      </c>
      <c r="X13">
        <f>'6a'!L18</f>
        <v>0</v>
      </c>
      <c r="Y13" t="s">
        <v>1789</v>
      </c>
    </row>
    <row r="14" spans="1:25">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756</v>
      </c>
      <c r="R14">
        <f>'6a'!F19</f>
        <v>0</v>
      </c>
      <c r="S14">
        <f>'6a'!G19</f>
        <v>0</v>
      </c>
      <c r="T14">
        <f>'6a'!H19</f>
        <v>0</v>
      </c>
      <c r="U14">
        <f>'6a'!I19</f>
        <v>0</v>
      </c>
      <c r="V14" s="591">
        <f>'6a'!J19</f>
        <v>1</v>
      </c>
      <c r="W14">
        <f>'6a'!K19</f>
        <v>0</v>
      </c>
      <c r="X14">
        <f>'6a'!L19</f>
        <v>0</v>
      </c>
      <c r="Y14" t="s">
        <v>1789</v>
      </c>
    </row>
    <row r="15" spans="1:25">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756</v>
      </c>
      <c r="R15" t="s">
        <v>1789</v>
      </c>
      <c r="S15" t="s">
        <v>1789</v>
      </c>
      <c r="T15" t="s">
        <v>1789</v>
      </c>
      <c r="U15" t="s">
        <v>1789</v>
      </c>
      <c r="V15" s="591">
        <f>'6a'!J20</f>
        <v>2</v>
      </c>
      <c r="W15">
        <f>'6a'!K20</f>
        <v>0</v>
      </c>
      <c r="X15">
        <f>'6a'!L20</f>
        <v>0</v>
      </c>
      <c r="Y15" t="s">
        <v>1789</v>
      </c>
    </row>
    <row r="16" spans="1:25">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757</v>
      </c>
      <c r="R16">
        <f>'6a'!F21</f>
        <v>0</v>
      </c>
      <c r="S16">
        <f>'6a'!G21</f>
        <v>0</v>
      </c>
      <c r="T16">
        <f>'6a'!H21</f>
        <v>0</v>
      </c>
      <c r="U16">
        <f>'6a'!I21</f>
        <v>0</v>
      </c>
      <c r="V16" s="591">
        <f>'6a'!J21</f>
        <v>1</v>
      </c>
      <c r="W16">
        <f>'6a'!K21</f>
        <v>0</v>
      </c>
      <c r="X16">
        <f>'6a'!L21</f>
        <v>0</v>
      </c>
      <c r="Y16" t="s">
        <v>1789</v>
      </c>
    </row>
    <row r="17" spans="1:25">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757</v>
      </c>
      <c r="R17" t="s">
        <v>1789</v>
      </c>
      <c r="S17" t="s">
        <v>1789</v>
      </c>
      <c r="T17" t="s">
        <v>1789</v>
      </c>
      <c r="U17" t="s">
        <v>1789</v>
      </c>
      <c r="V17" s="591">
        <f>'6a'!J22</f>
        <v>2</v>
      </c>
      <c r="W17">
        <f>'6a'!K22</f>
        <v>0</v>
      </c>
      <c r="X17">
        <f>'6a'!L22</f>
        <v>0</v>
      </c>
      <c r="Y17" t="s">
        <v>1789</v>
      </c>
    </row>
    <row r="18" spans="1:25">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758</v>
      </c>
      <c r="R18">
        <f>'6a'!F23</f>
        <v>0</v>
      </c>
      <c r="S18">
        <f>'6a'!G23</f>
        <v>0</v>
      </c>
      <c r="T18">
        <f>'6a'!H23</f>
        <v>0</v>
      </c>
      <c r="U18">
        <f>'6a'!I23</f>
        <v>0</v>
      </c>
      <c r="V18" s="591">
        <f>'6a'!J23</f>
        <v>1</v>
      </c>
      <c r="W18">
        <f>'6a'!K23</f>
        <v>0</v>
      </c>
      <c r="X18">
        <f>'6a'!L23</f>
        <v>0</v>
      </c>
      <c r="Y18" t="s">
        <v>1789</v>
      </c>
    </row>
    <row r="19" spans="1:25">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
        <v>758</v>
      </c>
      <c r="R19" t="s">
        <v>1789</v>
      </c>
      <c r="S19" t="s">
        <v>1789</v>
      </c>
      <c r="T19" t="s">
        <v>1789</v>
      </c>
      <c r="U19" t="s">
        <v>1789</v>
      </c>
      <c r="V19" s="591">
        <f>'6a'!J24</f>
        <v>2</v>
      </c>
      <c r="W19">
        <f>'6a'!K24</f>
        <v>0</v>
      </c>
      <c r="X19">
        <f>'6a'!L24</f>
        <v>0</v>
      </c>
      <c r="Y19" t="s">
        <v>1789</v>
      </c>
    </row>
    <row r="20" spans="1:25">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t="s">
        <v>759</v>
      </c>
      <c r="R20">
        <f>'6a'!F25</f>
        <v>0</v>
      </c>
      <c r="S20">
        <f>'6a'!G25</f>
        <v>0</v>
      </c>
      <c r="T20">
        <f>'6a'!H25</f>
        <v>0</v>
      </c>
      <c r="U20">
        <f>'6a'!I25</f>
        <v>0</v>
      </c>
      <c r="V20" s="591">
        <f>'6a'!J25</f>
        <v>1</v>
      </c>
      <c r="W20">
        <f>'6a'!K25</f>
        <v>0</v>
      </c>
      <c r="X20">
        <f>'6a'!L25</f>
        <v>0</v>
      </c>
      <c r="Y20" t="s">
        <v>1789</v>
      </c>
    </row>
    <row r="21" spans="1:25">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t="s">
        <v>759</v>
      </c>
      <c r="R21" t="s">
        <v>1789</v>
      </c>
      <c r="S21" t="s">
        <v>1789</v>
      </c>
      <c r="T21" t="s">
        <v>1789</v>
      </c>
      <c r="U21" t="s">
        <v>1789</v>
      </c>
      <c r="V21" s="591">
        <f>'6a'!J26</f>
        <v>2</v>
      </c>
      <c r="W21">
        <f>'6a'!K26</f>
        <v>0</v>
      </c>
      <c r="X21">
        <f>'6a'!L26</f>
        <v>0</v>
      </c>
      <c r="Y21" t="s">
        <v>1789</v>
      </c>
    </row>
    <row r="22" spans="1:25">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s="591" t="s">
        <v>760</v>
      </c>
      <c r="R22">
        <f>'6a'!F27</f>
        <v>0</v>
      </c>
      <c r="S22">
        <f>'6a'!G27</f>
        <v>0</v>
      </c>
      <c r="T22">
        <f>'6a'!H27</f>
        <v>0</v>
      </c>
      <c r="U22">
        <f>'6a'!I27</f>
        <v>0</v>
      </c>
      <c r="V22" s="591">
        <f>'6a'!J27</f>
        <v>1</v>
      </c>
      <c r="W22">
        <f>'6a'!K27</f>
        <v>0</v>
      </c>
      <c r="X22">
        <f>'6a'!L27</f>
        <v>0</v>
      </c>
      <c r="Y22" t="s">
        <v>1789</v>
      </c>
    </row>
    <row r="23" spans="1:25">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s="591" t="s">
        <v>760</v>
      </c>
      <c r="R23" t="s">
        <v>1789</v>
      </c>
      <c r="S23" t="s">
        <v>1789</v>
      </c>
      <c r="T23" t="s">
        <v>1789</v>
      </c>
      <c r="U23" t="s">
        <v>1789</v>
      </c>
      <c r="V23" s="591">
        <f>'6a'!J28</f>
        <v>2</v>
      </c>
      <c r="W23">
        <f>'6a'!K28</f>
        <v>0</v>
      </c>
      <c r="X23">
        <f>'6a'!L28</f>
        <v>0</v>
      </c>
      <c r="Y23" t="s">
        <v>1789</v>
      </c>
    </row>
    <row r="24" spans="1:25">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s="591" t="s">
        <v>761</v>
      </c>
      <c r="R24">
        <f>'6a'!F29</f>
        <v>0</v>
      </c>
      <c r="S24">
        <f>'6a'!G29</f>
        <v>0</v>
      </c>
      <c r="T24">
        <f>'6a'!H29</f>
        <v>0</v>
      </c>
      <c r="U24">
        <f>'6a'!I29</f>
        <v>0</v>
      </c>
      <c r="V24" s="591">
        <f>'6a'!J29</f>
        <v>1</v>
      </c>
      <c r="W24">
        <f>'6a'!K29</f>
        <v>0</v>
      </c>
      <c r="X24">
        <f>'6a'!L29</f>
        <v>0</v>
      </c>
      <c r="Y24" t="s">
        <v>1789</v>
      </c>
    </row>
    <row r="25" spans="1:25">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s="591" t="s">
        <v>761</v>
      </c>
      <c r="R25" t="s">
        <v>1789</v>
      </c>
      <c r="S25" t="s">
        <v>1789</v>
      </c>
      <c r="T25" t="s">
        <v>1789</v>
      </c>
      <c r="U25" t="s">
        <v>1789</v>
      </c>
      <c r="V25" s="591">
        <f>'6a'!J30</f>
        <v>2</v>
      </c>
      <c r="W25">
        <f>'6a'!K30</f>
        <v>0</v>
      </c>
      <c r="X25">
        <f>'6a'!L30</f>
        <v>0</v>
      </c>
      <c r="Y25" t="s">
        <v>1789</v>
      </c>
    </row>
    <row r="26" spans="1:25">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s="591" t="s">
        <v>1248</v>
      </c>
      <c r="R26">
        <f>'6a'!F31</f>
        <v>0</v>
      </c>
      <c r="S26">
        <f>'6a'!G31</f>
        <v>0</v>
      </c>
      <c r="T26">
        <f>'6a'!H31</f>
        <v>0</v>
      </c>
      <c r="U26">
        <f>'6a'!I31</f>
        <v>0</v>
      </c>
      <c r="V26" s="591">
        <f>'6a'!J31</f>
        <v>1</v>
      </c>
      <c r="W26">
        <f>'6a'!K31</f>
        <v>0</v>
      </c>
      <c r="X26">
        <f>'6a'!L31</f>
        <v>0</v>
      </c>
      <c r="Y26" t="s">
        <v>1789</v>
      </c>
    </row>
    <row r="27" spans="1:25">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s="591" t="s">
        <v>1248</v>
      </c>
      <c r="R27" t="s">
        <v>1789</v>
      </c>
      <c r="S27" t="s">
        <v>1789</v>
      </c>
      <c r="T27" t="s">
        <v>1789</v>
      </c>
      <c r="U27" t="s">
        <v>1789</v>
      </c>
      <c r="V27" s="591">
        <f>'6a'!J32</f>
        <v>2</v>
      </c>
      <c r="W27">
        <f>'6a'!K32</f>
        <v>0</v>
      </c>
      <c r="X27">
        <f>'6a'!L32</f>
        <v>0</v>
      </c>
      <c r="Y27" t="s">
        <v>1789</v>
      </c>
    </row>
    <row r="28" spans="1:25">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s="591" t="s">
        <v>762</v>
      </c>
      <c r="R28">
        <f>'6a'!F33</f>
        <v>0</v>
      </c>
      <c r="S28">
        <f>'6a'!G33</f>
        <v>0</v>
      </c>
      <c r="T28">
        <f>'6a'!H33</f>
        <v>0</v>
      </c>
      <c r="U28">
        <f>'6a'!I33</f>
        <v>0</v>
      </c>
      <c r="V28" s="591">
        <f>'6a'!J33</f>
        <v>1</v>
      </c>
      <c r="W28">
        <f>'6a'!K33</f>
        <v>0</v>
      </c>
      <c r="X28">
        <f>'6a'!L33</f>
        <v>0</v>
      </c>
      <c r="Y28" t="s">
        <v>1789</v>
      </c>
    </row>
    <row r="29" spans="1:25">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s="591" t="s">
        <v>762</v>
      </c>
      <c r="R29" t="s">
        <v>1789</v>
      </c>
      <c r="S29" t="s">
        <v>1789</v>
      </c>
      <c r="T29" t="s">
        <v>1789</v>
      </c>
      <c r="U29" t="s">
        <v>1789</v>
      </c>
      <c r="V29" s="591">
        <f>'6a'!J34</f>
        <v>2</v>
      </c>
      <c r="W29">
        <f>'6a'!K34</f>
        <v>0</v>
      </c>
      <c r="X29">
        <f>'6a'!L34</f>
        <v>0</v>
      </c>
      <c r="Y29" t="s">
        <v>1789</v>
      </c>
    </row>
    <row r="30" spans="1:25">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s="591" t="s">
        <v>940</v>
      </c>
      <c r="R30">
        <f>'6a'!F35</f>
        <v>0</v>
      </c>
      <c r="S30">
        <f>'6a'!G35</f>
        <v>0</v>
      </c>
      <c r="T30">
        <f>'6a'!H35</f>
        <v>0</v>
      </c>
      <c r="U30">
        <f>'6a'!I35</f>
        <v>0</v>
      </c>
      <c r="V30" s="591">
        <f>'6a'!J35</f>
        <v>1</v>
      </c>
      <c r="W30">
        <f>'6a'!K35</f>
        <v>0</v>
      </c>
      <c r="X30">
        <f>'6a'!L35</f>
        <v>0</v>
      </c>
      <c r="Y30" t="s">
        <v>1789</v>
      </c>
    </row>
    <row r="31" spans="1:25">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s="591" t="s">
        <v>940</v>
      </c>
      <c r="R31" t="s">
        <v>1789</v>
      </c>
      <c r="S31" t="s">
        <v>1789</v>
      </c>
      <c r="T31" t="s">
        <v>1789</v>
      </c>
      <c r="U31" t="s">
        <v>1789</v>
      </c>
      <c r="V31" s="591">
        <f>'6a'!J36</f>
        <v>2</v>
      </c>
      <c r="W31">
        <f>'6a'!K36</f>
        <v>0</v>
      </c>
      <c r="X31">
        <f>'6a'!L36</f>
        <v>0</v>
      </c>
      <c r="Y31" t="s">
        <v>1789</v>
      </c>
    </row>
    <row r="32" spans="1:25">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s="591" t="s">
        <v>763</v>
      </c>
      <c r="R32">
        <f>'6a'!F37</f>
        <v>0</v>
      </c>
      <c r="S32">
        <f>'6a'!G37</f>
        <v>0</v>
      </c>
      <c r="T32">
        <f>'6a'!H37</f>
        <v>0</v>
      </c>
      <c r="U32">
        <f>'6a'!I37</f>
        <v>0</v>
      </c>
      <c r="V32" s="591">
        <f>'6a'!J37</f>
        <v>1</v>
      </c>
      <c r="W32">
        <f>'6a'!K37</f>
        <v>0</v>
      </c>
      <c r="X32">
        <f>'6a'!L37</f>
        <v>0</v>
      </c>
      <c r="Y32" t="s">
        <v>1789</v>
      </c>
    </row>
    <row r="33" spans="1:25">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s="591" t="s">
        <v>763</v>
      </c>
      <c r="R33" t="s">
        <v>1789</v>
      </c>
      <c r="S33" t="s">
        <v>1789</v>
      </c>
      <c r="T33" t="s">
        <v>1789</v>
      </c>
      <c r="U33" t="s">
        <v>1789</v>
      </c>
      <c r="V33" s="591">
        <f>'6a'!J38</f>
        <v>2</v>
      </c>
      <c r="W33">
        <f>'6a'!K38</f>
        <v>0</v>
      </c>
      <c r="X33">
        <f>'6a'!L38</f>
        <v>0</v>
      </c>
      <c r="Y33" t="s">
        <v>1789</v>
      </c>
    </row>
    <row r="34" spans="1:25">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s="591" t="s">
        <v>764</v>
      </c>
      <c r="R34">
        <f>'6a'!F39</f>
        <v>0</v>
      </c>
      <c r="S34">
        <f>'6a'!G39</f>
        <v>0</v>
      </c>
      <c r="T34">
        <f>'6a'!H39</f>
        <v>0</v>
      </c>
      <c r="U34">
        <f>'6a'!I39</f>
        <v>0</v>
      </c>
      <c r="V34" s="591">
        <f>'6a'!J39</f>
        <v>1</v>
      </c>
      <c r="W34">
        <f>'6a'!K39</f>
        <v>0</v>
      </c>
      <c r="X34">
        <f>'6a'!L39</f>
        <v>0</v>
      </c>
      <c r="Y34" t="s">
        <v>1789</v>
      </c>
    </row>
    <row r="35" spans="1:25">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s="591" t="s">
        <v>764</v>
      </c>
      <c r="R35" t="s">
        <v>1789</v>
      </c>
      <c r="S35" t="s">
        <v>1789</v>
      </c>
      <c r="T35" t="s">
        <v>1789</v>
      </c>
      <c r="U35" t="s">
        <v>1789</v>
      </c>
      <c r="V35" s="591">
        <f>'6a'!J40</f>
        <v>2</v>
      </c>
      <c r="W35">
        <f>'6a'!K40</f>
        <v>0</v>
      </c>
      <c r="X35">
        <f>'6a'!L40</f>
        <v>0</v>
      </c>
      <c r="Y35" t="s">
        <v>1789</v>
      </c>
    </row>
    <row r="36" spans="1:25">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t="str">
        <f>'6a'!D41</f>
        <v>(specify here)</v>
      </c>
      <c r="R36">
        <f>'6a'!F41</f>
        <v>0</v>
      </c>
      <c r="S36">
        <f>'6a'!G41</f>
        <v>0</v>
      </c>
      <c r="T36">
        <f>'6a'!H41</f>
        <v>0</v>
      </c>
      <c r="U36">
        <f>'6a'!I41</f>
        <v>0</v>
      </c>
      <c r="V36" s="591">
        <f>'6a'!J41</f>
        <v>1</v>
      </c>
      <c r="W36">
        <f>'6a'!K41</f>
        <v>0</v>
      </c>
      <c r="X36">
        <f>'6a'!L41</f>
        <v>0</v>
      </c>
      <c r="Y36" t="s">
        <v>1789</v>
      </c>
    </row>
    <row r="37" spans="1:25">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t="str">
        <f>'6a'!D41</f>
        <v>(specify here)</v>
      </c>
      <c r="R37" t="s">
        <v>1789</v>
      </c>
      <c r="S37" t="s">
        <v>1789</v>
      </c>
      <c r="T37" t="s">
        <v>1789</v>
      </c>
      <c r="U37" t="s">
        <v>1789</v>
      </c>
      <c r="V37" s="591">
        <f>'6a'!J42</f>
        <v>2</v>
      </c>
      <c r="W37">
        <f>'6a'!K42</f>
        <v>0</v>
      </c>
      <c r="X37">
        <f>'6a'!L42</f>
        <v>0</v>
      </c>
      <c r="Y37" t="s">
        <v>1789</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85" zoomScaleNormal="85" workbookViewId="0">
      <selection activeCell="A2" sqref="A2:P2"/>
    </sheetView>
  </sheetViews>
  <sheetFormatPr defaultRowHeight="15"/>
  <cols>
    <col min="17" max="17" width="30" bestFit="1" customWidth="1"/>
  </cols>
  <sheetData>
    <row r="1" spans="1:2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769</v>
      </c>
      <c r="R1" t="s">
        <v>1384</v>
      </c>
      <c r="S1" t="s">
        <v>770</v>
      </c>
      <c r="T1" t="s">
        <v>771</v>
      </c>
      <c r="U1" t="s">
        <v>468</v>
      </c>
    </row>
    <row r="2" spans="1:21">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772</v>
      </c>
      <c r="R2" t="str">
        <f>IF(ISBLANK('6c'!F6), "Blank", '6c'!F6)</f>
        <v>Blank</v>
      </c>
      <c r="S2" t="str">
        <f>IF(ISBLANK('6c'!G6), "Blank", '6c'!G6)</f>
        <v>Blank</v>
      </c>
      <c r="T2">
        <f>'6c'!H6</f>
        <v>0</v>
      </c>
      <c r="U2">
        <f>'6c'!J6</f>
        <v>0</v>
      </c>
    </row>
    <row r="3" spans="1:21">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774</v>
      </c>
      <c r="R3" t="str">
        <f>IF(ISBLANK('6c'!F7), "Blank", '6c'!F7)</f>
        <v>Blank</v>
      </c>
      <c r="S3" t="str">
        <f>IF(ISBLANK('6c'!G7), "Blank", '6c'!G7)</f>
        <v>Blank</v>
      </c>
      <c r="T3">
        <f>'6c'!H7</f>
        <v>0</v>
      </c>
      <c r="U3">
        <f>'6c'!J7</f>
        <v>0</v>
      </c>
    </row>
    <row r="4" spans="1:21">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775</v>
      </c>
      <c r="R4" t="str">
        <f>IF(ISBLANK('6c'!F8), "Blank", '6c'!F8)</f>
        <v>Blank</v>
      </c>
      <c r="S4" t="str">
        <f>IF(ISBLANK('6c'!G8), "Blank", '6c'!G8)</f>
        <v>Blank</v>
      </c>
      <c r="T4">
        <f>'6c'!H8</f>
        <v>0</v>
      </c>
      <c r="U4">
        <f>'6c'!J8</f>
        <v>0</v>
      </c>
    </row>
    <row r="5" spans="1:21">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776</v>
      </c>
      <c r="R5" t="str">
        <f>IF(ISBLANK('6c'!F9), "Blank", '6c'!F9)</f>
        <v>Blank</v>
      </c>
      <c r="S5" t="str">
        <f>IF(ISBLANK('6c'!G9), "Blank", '6c'!G9)</f>
        <v>Blank</v>
      </c>
      <c r="T5">
        <f>'6c'!H9</f>
        <v>0</v>
      </c>
      <c r="U5">
        <f>'6c'!J9</f>
        <v>0</v>
      </c>
    </row>
    <row r="6" spans="1:21">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777</v>
      </c>
      <c r="R6" t="str">
        <f>IF(ISBLANK('6c'!F10), "Blank", '6c'!F10)</f>
        <v>Blank</v>
      </c>
      <c r="S6" t="str">
        <f>IF(ISBLANK('6c'!G10), "Blank", '6c'!G10)</f>
        <v>Blank</v>
      </c>
      <c r="T6">
        <f>'6c'!H10</f>
        <v>0</v>
      </c>
      <c r="U6">
        <f>'6c'!J10</f>
        <v>0</v>
      </c>
    </row>
    <row r="7" spans="1:21">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778</v>
      </c>
      <c r="R7" t="str">
        <f>IF(ISBLANK('6c'!F11), "Blank", '6c'!F11)</f>
        <v>Blank</v>
      </c>
      <c r="S7" t="str">
        <f>IF(ISBLANK('6c'!G11), "Blank", '6c'!G11)</f>
        <v>Blank</v>
      </c>
      <c r="T7">
        <f>'6c'!H11</f>
        <v>0</v>
      </c>
      <c r="U7">
        <f>'6c'!J11</f>
        <v>0</v>
      </c>
    </row>
    <row r="8" spans="1:21">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779</v>
      </c>
      <c r="R8" t="str">
        <f>IF(ISBLANK('6c'!F12), "Blank", '6c'!F12)</f>
        <v>Blank</v>
      </c>
      <c r="S8" t="str">
        <f>IF(ISBLANK('6c'!G12), "Blank", '6c'!G12)</f>
        <v>Blank</v>
      </c>
      <c r="T8">
        <f>'6c'!H12</f>
        <v>0</v>
      </c>
      <c r="U8">
        <f>'6c'!J12</f>
        <v>0</v>
      </c>
    </row>
    <row r="9" spans="1:21">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780</v>
      </c>
      <c r="R9" t="str">
        <f>IF(ISBLANK('6c'!F13), "Blank", '6c'!F13)</f>
        <v>Blank</v>
      </c>
      <c r="S9" t="str">
        <f>IF(ISBLANK('6c'!G13), "Blank", '6c'!G13)</f>
        <v>Blank</v>
      </c>
      <c r="T9">
        <f>'6c'!H13</f>
        <v>0</v>
      </c>
      <c r="U9">
        <f>'6c'!J13</f>
        <v>0</v>
      </c>
    </row>
    <row r="10" spans="1:21">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747</v>
      </c>
      <c r="R10" t="str">
        <f>IF(ISBLANK('6c'!F14), "Blank", '6c'!F14)</f>
        <v>Blank</v>
      </c>
      <c r="S10" t="str">
        <f>IF(ISBLANK('6c'!G14), "Blank", '6c'!G14)</f>
        <v>Blank</v>
      </c>
      <c r="T10">
        <f>'6c'!H14</f>
        <v>0</v>
      </c>
      <c r="U10">
        <f>'6c'!J14</f>
        <v>0</v>
      </c>
    </row>
    <row r="11" spans="1:21">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781</v>
      </c>
      <c r="R11" t="str">
        <f>IF(ISBLANK('6c'!F15), "Blank", '6c'!F15)</f>
        <v>Blank</v>
      </c>
      <c r="S11" t="str">
        <f>IF(ISBLANK('6c'!G15), "Blank", '6c'!G15)</f>
        <v>Blank</v>
      </c>
      <c r="T11">
        <f>'6c'!H15</f>
        <v>0</v>
      </c>
      <c r="U11">
        <f>'6c'!J15</f>
        <v>0</v>
      </c>
    </row>
    <row r="12" spans="1:21">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791</v>
      </c>
      <c r="R12" t="str">
        <f>IF(ISBLANK('6c'!F16), "Blank", '6c'!F16)</f>
        <v>Blank</v>
      </c>
      <c r="S12" t="str">
        <f>IF(ISBLANK('6c'!G16), "Blank", '6c'!G16)</f>
        <v>Blank</v>
      </c>
      <c r="T12">
        <f>'6c'!H16</f>
        <v>0</v>
      </c>
      <c r="U12">
        <f>'6c'!J16</f>
        <v>0</v>
      </c>
    </row>
    <row r="13" spans="1:21">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782</v>
      </c>
      <c r="R13" t="str">
        <f>IF(ISBLANK('6c'!F17), "Blank", '6c'!F17)</f>
        <v>Blank</v>
      </c>
      <c r="S13" t="str">
        <f>IF(ISBLANK('6c'!G17), "Blank", '6c'!G17)</f>
        <v>Blank</v>
      </c>
      <c r="T13">
        <f>'6c'!H17</f>
        <v>0</v>
      </c>
      <c r="U13">
        <f>'6c'!J17</f>
        <v>0</v>
      </c>
    </row>
    <row r="14" spans="1:21">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783</v>
      </c>
      <c r="R14" t="str">
        <f>IF(ISBLANK('6c'!F18), "Blank", '6c'!F18)</f>
        <v>Blank</v>
      </c>
      <c r="S14" t="str">
        <f>IF(ISBLANK('6c'!G18), "Blank", '6c'!G18)</f>
        <v>Blank</v>
      </c>
      <c r="T14">
        <f>'6c'!H18</f>
        <v>0</v>
      </c>
      <c r="U14">
        <f>'6c'!J18</f>
        <v>0</v>
      </c>
    </row>
    <row r="15" spans="1:21">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784</v>
      </c>
      <c r="R15" t="str">
        <f>IF(ISBLANK('6c'!F19), "Blank", '6c'!F19)</f>
        <v>Blank</v>
      </c>
      <c r="S15" t="str">
        <f>IF(ISBLANK('6c'!G19), "Blank", '6c'!G19)</f>
        <v>Blank</v>
      </c>
      <c r="T15">
        <f>'6c'!H19</f>
        <v>0</v>
      </c>
      <c r="U15">
        <f>'6c'!J19</f>
        <v>0</v>
      </c>
    </row>
    <row r="16" spans="1:21">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785</v>
      </c>
      <c r="R16" t="str">
        <f>IF(ISBLANK('6c'!F20), "Blank", '6c'!F20)</f>
        <v>Blank</v>
      </c>
      <c r="S16" t="str">
        <f>IF(ISBLANK('6c'!G20), "Blank", '6c'!G20)</f>
        <v>Blank</v>
      </c>
      <c r="T16">
        <f>'6c'!H20</f>
        <v>0</v>
      </c>
      <c r="U16">
        <f>'6c'!J20</f>
        <v>0</v>
      </c>
    </row>
    <row r="17" spans="1:21">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1248</v>
      </c>
      <c r="R17" t="str">
        <f>IF(ISBLANK('6c'!F21), "Blank", '6c'!F21)</f>
        <v>Blank</v>
      </c>
      <c r="S17" t="str">
        <f>IF(ISBLANK('6c'!G21), "Blank", '6c'!G21)</f>
        <v>Blank</v>
      </c>
      <c r="T17">
        <f>'6c'!H21</f>
        <v>0</v>
      </c>
      <c r="U17">
        <f>'6c'!J21</f>
        <v>0</v>
      </c>
    </row>
    <row r="18" spans="1:21">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773</v>
      </c>
      <c r="R18" t="str">
        <f>IF(ISBLANK('6c'!F22), "Blank", '6c'!F22)</f>
        <v>Blank</v>
      </c>
      <c r="S18" t="str">
        <f>IF(ISBLANK('6c'!G22), "Blank", '6c'!G22)</f>
        <v>Blank</v>
      </c>
      <c r="T18">
        <f>'6c'!H22</f>
        <v>0</v>
      </c>
      <c r="U18">
        <f>'6c'!J22</f>
        <v>0</v>
      </c>
    </row>
    <row r="19" spans="1:21">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
        <v>787</v>
      </c>
      <c r="R19" t="str">
        <f>IF(ISBLANK('6c'!F23), "Blank", '6c'!F23)</f>
        <v>Blank</v>
      </c>
      <c r="S19" t="str">
        <f>IF(ISBLANK('6c'!G23), "Blank", '6c'!G23)</f>
        <v>Blank</v>
      </c>
      <c r="T19">
        <f>'6c'!H23</f>
        <v>0</v>
      </c>
      <c r="U19">
        <f>'6c'!J23</f>
        <v>0</v>
      </c>
    </row>
    <row r="20" spans="1:21">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t="s">
        <v>788</v>
      </c>
      <c r="R20" t="str">
        <f>IF(ISBLANK('6c'!F24), "Blank", '6c'!F24)</f>
        <v>Blank</v>
      </c>
      <c r="S20" t="str">
        <f>IF(ISBLANK('6c'!G24), "Blank", '6c'!G24)</f>
        <v>Blank</v>
      </c>
      <c r="T20">
        <f>'6c'!H24</f>
        <v>0</v>
      </c>
      <c r="U20">
        <f>'6c'!J24</f>
        <v>0</v>
      </c>
    </row>
    <row r="21" spans="1:21">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t="s">
        <v>789</v>
      </c>
      <c r="R21" t="str">
        <f>IF(ISBLANK('6c'!F25), "Blank", '6c'!F25)</f>
        <v>Blank</v>
      </c>
      <c r="S21" t="str">
        <f>IF(ISBLANK('6c'!G25), "Blank", '6c'!G25)</f>
        <v>Blank</v>
      </c>
      <c r="T21">
        <f>'6c'!H25</f>
        <v>0</v>
      </c>
      <c r="U21">
        <f>'6c'!J25</f>
        <v>0</v>
      </c>
    </row>
    <row r="22" spans="1:21">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s="591" t="s">
        <v>790</v>
      </c>
      <c r="R22" t="str">
        <f>IF(ISBLANK('6c'!F26), "Blank", '6c'!F26)</f>
        <v>Blank</v>
      </c>
      <c r="S22" t="str">
        <f>IF(ISBLANK('6c'!G26), "Blank", '6c'!G26)</f>
        <v>Blank</v>
      </c>
      <c r="T22">
        <f>'6c'!H26</f>
        <v>0</v>
      </c>
      <c r="U22">
        <f>'6c'!J26</f>
        <v>0</v>
      </c>
    </row>
    <row r="23" spans="1:21">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s="591" t="s">
        <v>792</v>
      </c>
      <c r="R23" t="str">
        <f>IF(ISBLANK('6c'!F27), "Blank", '6c'!F27)</f>
        <v>Blank</v>
      </c>
      <c r="S23" t="str">
        <f>IF(ISBLANK('6c'!G27), "Blank", '6c'!G27)</f>
        <v>Blank</v>
      </c>
      <c r="T23">
        <f>'6c'!H27</f>
        <v>0</v>
      </c>
      <c r="U23">
        <f>'6c'!J27</f>
        <v>0</v>
      </c>
    </row>
    <row r="24" spans="1:21">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s="591" t="s">
        <v>793</v>
      </c>
      <c r="R24" t="str">
        <f>IF(ISBLANK('6c'!F28), "Blank", '6c'!F28)</f>
        <v>Blank</v>
      </c>
      <c r="S24" t="str">
        <f>IF(ISBLANK('6c'!G28), "Blank", '6c'!G28)</f>
        <v>Blank</v>
      </c>
      <c r="T24">
        <f>'6c'!H28</f>
        <v>0</v>
      </c>
      <c r="U24">
        <f>'6c'!J28</f>
        <v>0</v>
      </c>
    </row>
    <row r="25" spans="1:21">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s="591" t="str">
        <f>'6c'!D29</f>
        <v>(specify here)</v>
      </c>
      <c r="R25" t="str">
        <f>IF(ISBLANK('6c'!F29), "Blank", '6c'!F29)</f>
        <v>Blank</v>
      </c>
      <c r="S25" t="str">
        <f>IF(ISBLANK('6c'!G29), "Blank", '6c'!G29)</f>
        <v>Blank</v>
      </c>
      <c r="T25">
        <f>'6c'!H29</f>
        <v>0</v>
      </c>
      <c r="U25">
        <f>'6c'!J29</f>
        <v>0</v>
      </c>
    </row>
    <row r="26" spans="1:21">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s="591" t="str">
        <f>'6c'!D30</f>
        <v>(specify here)</v>
      </c>
      <c r="R26" t="str">
        <f>IF(ISBLANK('6c'!F30), "Blank", '6c'!F30)</f>
        <v>Blank</v>
      </c>
      <c r="S26" t="str">
        <f>IF(ISBLANK('6c'!G30), "Blank", '6c'!G30)</f>
        <v>Blank</v>
      </c>
      <c r="T26">
        <f>'6c'!H30</f>
        <v>0</v>
      </c>
      <c r="U26">
        <f>'6c'!J30</f>
        <v>0</v>
      </c>
    </row>
    <row r="27" spans="1:21">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s="591" t="str">
        <f>'6c'!D31</f>
        <v>(specify here)</v>
      </c>
      <c r="R27" t="str">
        <f>IF(ISBLANK('6c'!F31), "Blank", '6c'!F31)</f>
        <v>Blank</v>
      </c>
      <c r="S27" t="str">
        <f>IF(ISBLANK('6c'!G31), "Blank", '6c'!G31)</f>
        <v>Blank</v>
      </c>
      <c r="T27">
        <f>'6c'!H31</f>
        <v>0</v>
      </c>
      <c r="U27">
        <f>'6c'!J31</f>
        <v>0</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9"/>
  <sheetViews>
    <sheetView zoomScale="85" zoomScaleNormal="85" workbookViewId="0">
      <selection activeCell="A2" sqref="A2:P2"/>
    </sheetView>
  </sheetViews>
  <sheetFormatPr defaultRowHeight="15"/>
  <sheetData>
    <row r="1" spans="1:58">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1719</v>
      </c>
      <c r="R1" t="s">
        <v>1720</v>
      </c>
      <c r="S1" t="s">
        <v>1722</v>
      </c>
      <c r="T1" t="s">
        <v>1721</v>
      </c>
      <c r="U1" t="s">
        <v>1724</v>
      </c>
      <c r="V1" t="s">
        <v>1723</v>
      </c>
      <c r="W1" t="s">
        <v>1725</v>
      </c>
      <c r="X1" t="s">
        <v>1726</v>
      </c>
      <c r="Y1" t="s">
        <v>1728</v>
      </c>
      <c r="Z1" t="s">
        <v>1729</v>
      </c>
      <c r="AA1" t="s">
        <v>1727</v>
      </c>
      <c r="AB1" t="s">
        <v>1730</v>
      </c>
      <c r="AC1" t="s">
        <v>1397</v>
      </c>
      <c r="AD1" t="s">
        <v>1732</v>
      </c>
      <c r="AE1" t="s">
        <v>1731</v>
      </c>
      <c r="AF1" t="s">
        <v>1735</v>
      </c>
      <c r="AG1" t="s">
        <v>1734</v>
      </c>
      <c r="AH1" t="s">
        <v>1733</v>
      </c>
      <c r="AI1" t="s">
        <v>1737</v>
      </c>
      <c r="AJ1" t="s">
        <v>1736</v>
      </c>
      <c r="AK1" t="s">
        <v>1739</v>
      </c>
      <c r="AL1" t="s">
        <v>1738</v>
      </c>
      <c r="AM1" t="s">
        <v>1740</v>
      </c>
      <c r="AN1" t="s">
        <v>1398</v>
      </c>
      <c r="AO1" t="s">
        <v>1746</v>
      </c>
      <c r="AP1" t="s">
        <v>1747</v>
      </c>
      <c r="AQ1" t="s">
        <v>1741</v>
      </c>
      <c r="AR1" t="s">
        <v>1742</v>
      </c>
      <c r="AS1" t="s">
        <v>1748</v>
      </c>
      <c r="AT1" t="s">
        <v>1749</v>
      </c>
      <c r="AU1" t="s">
        <v>1745</v>
      </c>
      <c r="AV1" t="s">
        <v>1743</v>
      </c>
      <c r="AW1" t="s">
        <v>1744</v>
      </c>
      <c r="AX1" t="s">
        <v>1752</v>
      </c>
      <c r="AY1" t="s">
        <v>1757</v>
      </c>
      <c r="AZ1" t="s">
        <v>1751</v>
      </c>
      <c r="BA1" t="s">
        <v>1750</v>
      </c>
      <c r="BB1" t="s">
        <v>1754</v>
      </c>
      <c r="BC1" t="s">
        <v>1753</v>
      </c>
      <c r="BD1" t="s">
        <v>1756</v>
      </c>
      <c r="BE1" t="s">
        <v>1755</v>
      </c>
      <c r="BF1" t="s">
        <v>1758</v>
      </c>
    </row>
    <row r="2" spans="1:58">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Q6b_A1_Continue_Weeks</f>
        <v>0</v>
      </c>
      <c r="R2">
        <f>Q6b_A2_Supplier_Weeks</f>
        <v>0</v>
      </c>
      <c r="S2">
        <f>Q6b_A3_SuppProb_YN</f>
        <v>0</v>
      </c>
      <c r="T2">
        <f>Q6b_A3_SuppProb_Explain</f>
        <v>0</v>
      </c>
      <c r="U2">
        <f>Q6b_A4_RampUpMaterial_YN</f>
        <v>0</v>
      </c>
      <c r="V2">
        <f>Q6b_A4_RampUpMaterial_Explain</f>
        <v>0</v>
      </c>
      <c r="W2">
        <f>Q6b_B_InventoryDesc</f>
        <v>0</v>
      </c>
      <c r="X2">
        <f>Q6b_B_InventoryExplain</f>
        <v>0</v>
      </c>
      <c r="Y2">
        <f>Q6b_C1_OnSite</f>
        <v>0</v>
      </c>
      <c r="Z2">
        <f>Q6b_C2_Local</f>
        <v>0</v>
      </c>
      <c r="AA2">
        <f>Q6b_C_Explain</f>
        <v>0</v>
      </c>
      <c r="AB2">
        <f>Q6b_Comment</f>
        <v>0</v>
      </c>
      <c r="AC2">
        <f>Q6c_B_Parts_US</f>
        <v>0</v>
      </c>
      <c r="AD2">
        <f>Q6c_B_Parts_NonUS</f>
        <v>0</v>
      </c>
      <c r="AE2">
        <f>Q6c_B_Parts_Explain</f>
        <v>0</v>
      </c>
      <c r="AF2">
        <f>Q6c_B_Service_US</f>
        <v>0</v>
      </c>
      <c r="AG2">
        <f>Q6c_B_Service_NonUS</f>
        <v>0</v>
      </c>
      <c r="AH2">
        <f>Q6c_B_Service_Explain</f>
        <v>0</v>
      </c>
      <c r="AI2">
        <f>Q6c_C_EquipLimits_YN</f>
        <v>0</v>
      </c>
      <c r="AJ2">
        <f>Q6c_C_EquipLimits_Explain</f>
        <v>0</v>
      </c>
      <c r="AK2">
        <f>Q6c_C_TLEquip_YN</f>
        <v>0</v>
      </c>
      <c r="AL2">
        <f>Q6c_C_TLEquip_Explain</f>
        <v>0</v>
      </c>
      <c r="AM2">
        <f>Q6c_Comment</f>
        <v>0</v>
      </c>
      <c r="AN2">
        <f>Q6d_A_Counterfeit_Any</f>
        <v>0</v>
      </c>
      <c r="AO2">
        <f>Q6d_A_Counterfeit_Prepreg</f>
        <v>0</v>
      </c>
      <c r="AP2">
        <f>Q6d_A_Counterfeit_Prepreg_Explain</f>
        <v>0</v>
      </c>
      <c r="AQ2">
        <f>Q6d_A_Counterfeit_Laminate</f>
        <v>0</v>
      </c>
      <c r="AR2">
        <f>Q6d_A_Counterfeit_Laminate_Explain</f>
        <v>0</v>
      </c>
      <c r="AS2">
        <f>Q6d_A_Counterfeit_Soldermask</f>
        <v>0</v>
      </c>
      <c r="AT2">
        <f>Q6d_A_Counterfeit_Soldermask_Explain</f>
        <v>0</v>
      </c>
      <c r="AU2" t="str">
        <f>Q6d_A_Counterfeit_Other_Specify</f>
        <v>(specify here)</v>
      </c>
      <c r="AV2">
        <f>Q6d_A_Counterfeit_Other</f>
        <v>0</v>
      </c>
      <c r="AW2">
        <f>Q6d_A_Counterfeit_Other_Explain</f>
        <v>0</v>
      </c>
      <c r="AX2">
        <f>Q6d_B_NonOEM</f>
        <v>0</v>
      </c>
      <c r="AY2">
        <f>Q6d_B_SystematicTest</f>
        <v>0</v>
      </c>
      <c r="AZ2">
        <f>Q6d_B_Confirm</f>
        <v>0</v>
      </c>
      <c r="BA2">
        <f>Q6d_B_CheckAuth</f>
        <v>0</v>
      </c>
      <c r="BB2" t="str">
        <f>Q6d_B_Other1_Specify</f>
        <v>(specify here)</v>
      </c>
      <c r="BC2">
        <f>Q6d_B_Other1</f>
        <v>0</v>
      </c>
      <c r="BD2" t="str">
        <f>Q6d_B_Other2_Specify</f>
        <v>(specify here)</v>
      </c>
      <c r="BE2">
        <f>Q6d_B_Other2</f>
        <v>0</v>
      </c>
      <c r="BF2">
        <f>Q6d_Comment</f>
        <v>0</v>
      </c>
    </row>
    <row r="28" spans="28:28">
      <c r="AB28" s="588"/>
    </row>
    <row r="29" spans="28:28">
      <c r="AB29" s="588"/>
    </row>
    <row r="30" spans="28:28">
      <c r="AB30" s="588"/>
    </row>
    <row r="31" spans="28:28">
      <c r="AB31" s="588"/>
    </row>
    <row r="32" spans="28:28">
      <c r="AB32" s="588"/>
    </row>
    <row r="33" spans="28:28">
      <c r="AB33" s="588"/>
    </row>
    <row r="34" spans="28:28">
      <c r="AB34" s="588"/>
    </row>
    <row r="35" spans="28:28">
      <c r="AB35" s="588"/>
    </row>
    <row r="36" spans="28:28">
      <c r="AB36" s="588"/>
    </row>
    <row r="37" spans="28:28">
      <c r="AB37" s="588"/>
    </row>
    <row r="38" spans="28:28">
      <c r="AB38" s="588"/>
    </row>
    <row r="39" spans="28:28">
      <c r="AB39" s="588"/>
    </row>
    <row r="40" spans="28:28">
      <c r="AB40" s="588"/>
    </row>
    <row r="41" spans="28:28">
      <c r="AB41" s="588"/>
    </row>
    <row r="42" spans="28:28">
      <c r="AB42" s="588"/>
    </row>
    <row r="43" spans="28:28">
      <c r="AB43" s="588"/>
    </row>
    <row r="44" spans="28:28">
      <c r="AB44" s="588"/>
    </row>
    <row r="45" spans="28:28">
      <c r="AB45" s="588"/>
    </row>
    <row r="46" spans="28:28">
      <c r="AB46" s="588"/>
    </row>
    <row r="47" spans="28:28">
      <c r="AB47" s="588"/>
    </row>
    <row r="48" spans="28:28">
      <c r="AB48" s="588"/>
    </row>
    <row r="49" spans="28:28">
      <c r="AB49" s="588"/>
    </row>
    <row r="50" spans="28:28">
      <c r="AB50" s="588"/>
    </row>
    <row r="51" spans="28:28">
      <c r="AB51" s="588"/>
    </row>
    <row r="52" spans="28:28">
      <c r="AB52" s="588"/>
    </row>
    <row r="53" spans="28:28">
      <c r="AB53" s="588"/>
    </row>
    <row r="54" spans="28:28">
      <c r="AB54" s="588"/>
    </row>
    <row r="55" spans="28:28">
      <c r="AB55" s="588"/>
    </row>
    <row r="56" spans="28:28">
      <c r="AB56" s="588"/>
    </row>
    <row r="57" spans="28:28">
      <c r="AB57" s="588"/>
    </row>
    <row r="58" spans="28:28">
      <c r="AB58" s="588"/>
    </row>
    <row r="59" spans="28:28">
      <c r="AB59" s="588"/>
    </row>
    <row r="60" spans="28:28">
      <c r="AB60" s="588"/>
    </row>
    <row r="61" spans="28:28">
      <c r="AB61" s="588"/>
    </row>
    <row r="62" spans="28:28">
      <c r="AB62" s="588"/>
    </row>
    <row r="63" spans="28:28">
      <c r="AB63" s="588"/>
    </row>
    <row r="64" spans="28:28">
      <c r="AB64" s="588"/>
    </row>
    <row r="65" spans="28:28">
      <c r="AB65" s="588"/>
    </row>
    <row r="66" spans="28:28">
      <c r="AB66" s="588"/>
    </row>
    <row r="67" spans="28:28">
      <c r="AB67" s="588"/>
    </row>
    <row r="68" spans="28:28">
      <c r="AB68" s="588"/>
    </row>
    <row r="69" spans="28:28">
      <c r="AB69" s="588"/>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9"/>
  <sheetViews>
    <sheetView zoomScale="85" zoomScaleNormal="85" workbookViewId="0">
      <selection activeCell="A2" sqref="A2:P2"/>
    </sheetView>
  </sheetViews>
  <sheetFormatPr defaultRowHeight="15"/>
  <cols>
    <col min="17" max="17" width="10" bestFit="1" customWidth="1"/>
    <col min="20" max="20" width="28.140625" customWidth="1"/>
    <col min="23" max="23" width="9.140625" style="596"/>
    <col min="29" max="29" width="9.140625" style="596"/>
  </cols>
  <sheetData>
    <row r="1" spans="1:34" ht="45">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3" t="s">
        <v>1820</v>
      </c>
      <c r="R1" s="593" t="s">
        <v>1821</v>
      </c>
      <c r="S1" s="593" t="s">
        <v>1822</v>
      </c>
      <c r="T1" s="593" t="s">
        <v>1823</v>
      </c>
      <c r="U1" s="593" t="s">
        <v>98</v>
      </c>
      <c r="V1" s="593" t="s">
        <v>1836</v>
      </c>
      <c r="W1" s="595" t="s">
        <v>1825</v>
      </c>
      <c r="AC1" s="595"/>
    </row>
    <row r="2" spans="1:34">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33" si="0">Q7_Schedule</f>
        <v>0</v>
      </c>
      <c r="R2">
        <f t="shared" ref="R2:R33" si="1">Q7_Source</f>
        <v>0</v>
      </c>
      <c r="S2" s="591" t="s">
        <v>94</v>
      </c>
      <c r="T2" s="591" t="s">
        <v>1826</v>
      </c>
      <c r="U2" s="591">
        <v>2012</v>
      </c>
      <c r="V2" s="588" t="str">
        <f>IF(ISBLANK(Q7_TotalSales_US_2012), "Blank", Q7_TotalSales_US_2012)</f>
        <v>Blank</v>
      </c>
    </row>
    <row r="3" spans="1:34">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s="591" t="s">
        <v>94</v>
      </c>
      <c r="T3" s="591" t="s">
        <v>1827</v>
      </c>
      <c r="U3" s="591">
        <v>2012</v>
      </c>
      <c r="V3" s="597" t="str">
        <f>IF(V2="Blank", "NA", IF(W3="Blank", "NA", V2*W3))</f>
        <v>NA</v>
      </c>
      <c r="W3" t="str">
        <f>IF(ISBLANK(Q7_TotalGovPct_US_2012), "Blank", Q7_TotalGovPct_US_2012)</f>
        <v>Blank</v>
      </c>
      <c r="AB3" s="587"/>
    </row>
    <row r="4" spans="1:34">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s="591" t="s">
        <v>94</v>
      </c>
      <c r="T4" s="591" t="s">
        <v>1828</v>
      </c>
      <c r="U4" s="591">
        <v>2012</v>
      </c>
      <c r="V4" s="597" t="str">
        <f>IF(V2="Blank", "NA", IF(W4="Blank", "NA", V2*W4))</f>
        <v>NA</v>
      </c>
      <c r="W4" s="597" t="str">
        <f>IF(W3="Blank", "Blank", 1-W3)</f>
        <v>Blank</v>
      </c>
    </row>
    <row r="5" spans="1:34">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s="591" t="s">
        <v>94</v>
      </c>
      <c r="T5" s="591" t="s">
        <v>1829</v>
      </c>
      <c r="U5" s="591">
        <v>2012</v>
      </c>
      <c r="V5" t="str">
        <f>IF(ISBLANK(Q7_TotalBoard_US_2012), "Blank", Q7_TotalBoard_US_2012)</f>
        <v>Blank</v>
      </c>
    </row>
    <row r="6" spans="1:34">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s="591" t="s">
        <v>94</v>
      </c>
      <c r="T6" s="591" t="s">
        <v>1830</v>
      </c>
      <c r="U6" s="591">
        <v>2012</v>
      </c>
      <c r="V6" s="597" t="str">
        <f>IF(V5="Blank", "NA", IF(W6="Blank", "NA", V5*W6))</f>
        <v>NA</v>
      </c>
      <c r="W6" t="str">
        <f>IF(ISBLANK(Q7_TotalBoardGovPct_US_2012), "Blank", Q7_TotalBoardGovPct_US_2012)</f>
        <v>Blank</v>
      </c>
    </row>
    <row r="7" spans="1:34">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s="591" t="s">
        <v>94</v>
      </c>
      <c r="T7" s="591" t="s">
        <v>1831</v>
      </c>
      <c r="U7" s="591">
        <v>2012</v>
      </c>
      <c r="V7" s="597" t="str">
        <f>IF(V5="Blank", "NA", IF(W7="Blank", "NA", V5*W7))</f>
        <v>NA</v>
      </c>
      <c r="W7" s="597" t="str">
        <f>IF(W6="Blank", "Blank", 1-W6)</f>
        <v>Blank</v>
      </c>
    </row>
    <row r="8" spans="1:34">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s="591" t="s">
        <v>94</v>
      </c>
      <c r="T8" s="591" t="s">
        <v>1832</v>
      </c>
      <c r="U8" s="591">
        <v>2012</v>
      </c>
      <c r="V8" t="str">
        <f>IF(ISBLANK(Q7_TotalBare_US_2012), "Blank", Q7_TotalBare_US_2012)</f>
        <v>Blank</v>
      </c>
    </row>
    <row r="9" spans="1:34">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s="591" t="s">
        <v>94</v>
      </c>
      <c r="T9" s="591" t="s">
        <v>1833</v>
      </c>
      <c r="U9" s="591">
        <v>2012</v>
      </c>
      <c r="V9" s="597" t="str">
        <f>IF(V8="Blank", "NA", IF(W9="Blank", "NA", V8*W9))</f>
        <v>NA</v>
      </c>
      <c r="W9" t="str">
        <f>IF(ISBLANK(Q7_TotalBareGovPct_US_2012), "Blank", Q7_TotalBareGovPct_US_2012)</f>
        <v>Blank</v>
      </c>
    </row>
    <row r="10" spans="1:34">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s="591" t="s">
        <v>94</v>
      </c>
      <c r="T10" s="591" t="s">
        <v>1834</v>
      </c>
      <c r="U10" s="591">
        <v>2012</v>
      </c>
      <c r="V10" s="597" t="str">
        <f>IF(V8="Blank", "NA", IF(W10="Blank", "NA", V8*W10))</f>
        <v>NA</v>
      </c>
      <c r="W10" s="597" t="str">
        <f>IF(W9="Blank", "Blank", 1-W9)</f>
        <v>Blank</v>
      </c>
      <c r="AH10" s="588"/>
    </row>
    <row r="11" spans="1:34">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s="591" t="s">
        <v>95</v>
      </c>
      <c r="T11" s="591" t="s">
        <v>1826</v>
      </c>
      <c r="U11" s="591">
        <v>2012</v>
      </c>
      <c r="V11" s="588" t="str">
        <f>IF(ISBLANK(Q7_TotalSales_NonUS_2012), "Blank", Q7_TotalSales_NonUS_2012)</f>
        <v>Blank</v>
      </c>
      <c r="W11"/>
      <c r="AH11" s="588"/>
    </row>
    <row r="12" spans="1:34">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s="591" t="s">
        <v>95</v>
      </c>
      <c r="T12" s="591" t="s">
        <v>1827</v>
      </c>
      <c r="U12" s="591">
        <v>2012</v>
      </c>
      <c r="V12" s="597" t="str">
        <f>IF(V11="Blank", "NA", IF(W12="Blank", "NA", V11*W12))</f>
        <v>NA</v>
      </c>
      <c r="W12" t="str">
        <f>IF(ISBLANK(Q7_TotalGovPct_NonUS_2012), "Blank", Q7_TotalGovPct_NonUS_2012)</f>
        <v>Blank</v>
      </c>
    </row>
    <row r="13" spans="1:34">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s="591" t="s">
        <v>95</v>
      </c>
      <c r="T13" s="591" t="s">
        <v>1828</v>
      </c>
      <c r="U13" s="591">
        <v>2012</v>
      </c>
      <c r="V13" s="597" t="str">
        <f>IF(V11="Blank", "NA", IF(W13="Blank", "NA", V11*W13))</f>
        <v>NA</v>
      </c>
      <c r="W13" s="597" t="str">
        <f>IF(W12="Blank", "Blank", 1-W12)</f>
        <v>Blank</v>
      </c>
    </row>
    <row r="14" spans="1:34">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s="591" t="s">
        <v>95</v>
      </c>
      <c r="T14" s="591" t="s">
        <v>1829</v>
      </c>
      <c r="U14" s="591">
        <v>2012</v>
      </c>
      <c r="V14" t="str">
        <f>IF(ISBLANK(Q7_TotalBoard_NonUS_2012), "Blank", Q7_TotalBoard_NonUS_2012)</f>
        <v>Blank</v>
      </c>
    </row>
    <row r="15" spans="1:34">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s="591" t="s">
        <v>95</v>
      </c>
      <c r="T15" s="591" t="s">
        <v>1830</v>
      </c>
      <c r="U15" s="591">
        <v>2012</v>
      </c>
      <c r="V15" s="597" t="str">
        <f>IF(V14="Blank", "NA", IF(W15="Blank", "NA", V14*W15))</f>
        <v>NA</v>
      </c>
      <c r="W15" t="str">
        <f>IF(ISBLANK(Q7_TotalBoardGovPct_NonUS_2012), "Blank", Q7_TotalBoardGovPct_NonUS_2012)</f>
        <v>Blank</v>
      </c>
    </row>
    <row r="16" spans="1:34">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s="591" t="s">
        <v>95</v>
      </c>
      <c r="T16" s="591" t="s">
        <v>1831</v>
      </c>
      <c r="U16" s="591">
        <v>2012</v>
      </c>
      <c r="V16" s="597" t="str">
        <f>IF(V14="Blank", "NA", IF(W16="Blank", "NA", V14*W16))</f>
        <v>NA</v>
      </c>
      <c r="W16" s="597" t="str">
        <f>IF(W15="Blank", "Blank", 1-W15)</f>
        <v>Blank</v>
      </c>
    </row>
    <row r="17" spans="1:23">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s="591" t="s">
        <v>95</v>
      </c>
      <c r="T17" s="591" t="s">
        <v>1832</v>
      </c>
      <c r="U17" s="591">
        <v>2012</v>
      </c>
      <c r="V17" t="str">
        <f>IF(ISBLANK(Q7_TotalBare_NonUS_2012), "Blank", Q7_TotalBare_NonUS_2012)</f>
        <v>Blank</v>
      </c>
    </row>
    <row r="18" spans="1:23">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s="591" t="s">
        <v>95</v>
      </c>
      <c r="T18" s="591" t="s">
        <v>1833</v>
      </c>
      <c r="U18" s="591">
        <v>2012</v>
      </c>
      <c r="V18" s="597" t="str">
        <f>IF(V17="Blank", "NA", IF(W18="Blank", "NA", V17*W18))</f>
        <v>NA</v>
      </c>
      <c r="W18" t="str">
        <f>IF(ISBLANK(Q7_TotalBareGovPct_NonUS_2012), "Blank", Q7_TotalBareGovPct_NonUS_2012)</f>
        <v>Blank</v>
      </c>
    </row>
    <row r="19" spans="1:23">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s="591" t="s">
        <v>95</v>
      </c>
      <c r="T19" s="591" t="s">
        <v>1834</v>
      </c>
      <c r="U19" s="591">
        <v>2012</v>
      </c>
      <c r="V19" s="597" t="str">
        <f>IF(V17="Blank", "NA", IF(W19="Blank", "NA", V17*W19))</f>
        <v>NA</v>
      </c>
      <c r="W19" s="597" t="str">
        <f>IF(W18="Blank", "Blank", 1-W18)</f>
        <v>Blank</v>
      </c>
    </row>
    <row r="20" spans="1:23">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s="591" t="s">
        <v>1835</v>
      </c>
      <c r="T20" s="591" t="s">
        <v>1826</v>
      </c>
      <c r="U20" s="591">
        <v>2012</v>
      </c>
      <c r="V20" s="597" t="str">
        <f>IF(V2="Blank", IF(V11="Blank", "Blank", V11), IF(V11="Blank", V2, V2+V11))</f>
        <v>Blank</v>
      </c>
      <c r="W20" s="597"/>
    </row>
    <row r="21" spans="1:23">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s="591" t="s">
        <v>1835</v>
      </c>
      <c r="T21" s="591" t="s">
        <v>1827</v>
      </c>
      <c r="U21" s="591">
        <v>2012</v>
      </c>
      <c r="V21" s="597" t="str">
        <f>IF(V3="NA", IF(V12="NA", "NA", V12), IF(V12="NA", V3, V3+V12))</f>
        <v>NA</v>
      </c>
      <c r="W21" s="597" t="str">
        <f>IF(ISERROR(V21/V20), "NA", V21/V20)</f>
        <v>NA</v>
      </c>
    </row>
    <row r="22" spans="1:23">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si="0"/>
        <v>0</v>
      </c>
      <c r="R22">
        <f t="shared" si="1"/>
        <v>0</v>
      </c>
      <c r="S22" s="591" t="s">
        <v>1835</v>
      </c>
      <c r="T22" s="591" t="s">
        <v>1828</v>
      </c>
      <c r="U22" s="591">
        <v>2012</v>
      </c>
      <c r="V22" s="597" t="str">
        <f>IF(V4="NA", IF(V13="NA", "NA", V13), IF(V13="NA", V4, V4+V13))</f>
        <v>NA</v>
      </c>
      <c r="W22" s="597" t="str">
        <f>IF(ISERROR(V22/V20), "NA", V22/V20)</f>
        <v>NA</v>
      </c>
    </row>
    <row r="23" spans="1:23">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0"/>
        <v>0</v>
      </c>
      <c r="R23">
        <f t="shared" si="1"/>
        <v>0</v>
      </c>
      <c r="S23" s="591" t="s">
        <v>1835</v>
      </c>
      <c r="T23" s="591" t="s">
        <v>1829</v>
      </c>
      <c r="U23" s="591">
        <v>2012</v>
      </c>
      <c r="V23" s="597" t="str">
        <f>IF(V5="Blank", IF(V14="Blank", "Blank", V14), IF(V14="Blank", V5, V5+V14))</f>
        <v>Blank</v>
      </c>
      <c r="W23" s="597"/>
    </row>
    <row r="24" spans="1:23">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0"/>
        <v>0</v>
      </c>
      <c r="R24">
        <f t="shared" si="1"/>
        <v>0</v>
      </c>
      <c r="S24" s="591" t="s">
        <v>1835</v>
      </c>
      <c r="T24" s="591" t="s">
        <v>1830</v>
      </c>
      <c r="U24" s="591">
        <v>2012</v>
      </c>
      <c r="V24" s="597" t="str">
        <f>IF(V6="NA", IF(V15="NA", "NA", V15), IF(V15="NA", V6, V6+V15))</f>
        <v>NA</v>
      </c>
      <c r="W24" s="597" t="str">
        <f>IF(ISERROR(V24/V23), "NA", V24/V23)</f>
        <v>NA</v>
      </c>
    </row>
    <row r="25" spans="1:23">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0"/>
        <v>0</v>
      </c>
      <c r="R25">
        <f t="shared" si="1"/>
        <v>0</v>
      </c>
      <c r="S25" s="591" t="s">
        <v>1835</v>
      </c>
      <c r="T25" s="591" t="s">
        <v>1831</v>
      </c>
      <c r="U25" s="591">
        <v>2012</v>
      </c>
      <c r="V25" s="597" t="str">
        <f>IF(V7="NA", IF(V16="NA", "NA", V16), IF(V16="NA", V7, V7+V16))</f>
        <v>NA</v>
      </c>
      <c r="W25" s="597" t="str">
        <f>IF(ISERROR(V25/V23), "NA", V25/V23)</f>
        <v>NA</v>
      </c>
    </row>
    <row r="26" spans="1:23">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0"/>
        <v>0</v>
      </c>
      <c r="R26">
        <f t="shared" si="1"/>
        <v>0</v>
      </c>
      <c r="S26" s="591" t="s">
        <v>1835</v>
      </c>
      <c r="T26" s="591" t="s">
        <v>1832</v>
      </c>
      <c r="U26" s="591">
        <v>2012</v>
      </c>
      <c r="V26" s="597" t="str">
        <f>IF(V8="Blank", IF(V17="Blank", "Blank", V17), IF(V17="Blank", V8, V8+V17))</f>
        <v>Blank</v>
      </c>
      <c r="W26" s="597"/>
    </row>
    <row r="27" spans="1:23">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0"/>
        <v>0</v>
      </c>
      <c r="R27">
        <f t="shared" si="1"/>
        <v>0</v>
      </c>
      <c r="S27" s="591" t="s">
        <v>1835</v>
      </c>
      <c r="T27" s="591" t="s">
        <v>1833</v>
      </c>
      <c r="U27" s="591">
        <v>2012</v>
      </c>
      <c r="V27" s="597" t="str">
        <f>IF(V9="NA", IF(V18="NA", "NA", V18), IF(V18="NA", V9, V9+V18))</f>
        <v>NA</v>
      </c>
      <c r="W27" s="597" t="str">
        <f>IF(ISERROR(V27/V26), "NA", V27/V26)</f>
        <v>NA</v>
      </c>
    </row>
    <row r="28" spans="1:23">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0"/>
        <v>0</v>
      </c>
      <c r="R28">
        <f t="shared" si="1"/>
        <v>0</v>
      </c>
      <c r="S28" s="591" t="s">
        <v>1835</v>
      </c>
      <c r="T28" s="591" t="s">
        <v>1834</v>
      </c>
      <c r="U28" s="591">
        <v>2012</v>
      </c>
      <c r="V28" s="597" t="str">
        <f>IF(V10="NA", IF(V19="NA", "NA", V19), IF(V19="NA", V10, V10+V19))</f>
        <v>NA</v>
      </c>
      <c r="W28" s="597" t="str">
        <f>IF(ISERROR(V28/V26), "NA", V28/V26)</f>
        <v>NA</v>
      </c>
    </row>
    <row r="29" spans="1:23">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0"/>
        <v>0</v>
      </c>
      <c r="R29">
        <f t="shared" si="1"/>
        <v>0</v>
      </c>
      <c r="S29" s="591" t="s">
        <v>94</v>
      </c>
      <c r="T29" s="591" t="s">
        <v>1826</v>
      </c>
      <c r="U29" s="591">
        <v>2013</v>
      </c>
      <c r="V29" s="588" t="str">
        <f>IF(ISBLANK(Q7_TotalSales_US_2013), "Blank", Q7_TotalSales_US_2013)</f>
        <v>Blank</v>
      </c>
      <c r="W29"/>
    </row>
    <row r="30" spans="1:23">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f t="shared" si="0"/>
        <v>0</v>
      </c>
      <c r="R30">
        <f t="shared" si="1"/>
        <v>0</v>
      </c>
      <c r="S30" s="591" t="s">
        <v>94</v>
      </c>
      <c r="T30" s="591" t="s">
        <v>1827</v>
      </c>
      <c r="U30" s="591">
        <v>2013</v>
      </c>
      <c r="V30" s="597" t="str">
        <f>IF(V29="Blank", "NA", IF(W30="Blank", "NA", V29*W30))</f>
        <v>NA</v>
      </c>
      <c r="W30" t="str">
        <f>IF(ISBLANK(Q7_TotalGovPct_US_2013), "Blank", Q7_TotalGovPct_US_2013)</f>
        <v>Blank</v>
      </c>
    </row>
    <row r="31" spans="1:23">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f t="shared" si="0"/>
        <v>0</v>
      </c>
      <c r="R31">
        <f t="shared" si="1"/>
        <v>0</v>
      </c>
      <c r="S31" s="591" t="s">
        <v>94</v>
      </c>
      <c r="T31" s="591" t="s">
        <v>1828</v>
      </c>
      <c r="U31" s="591">
        <v>2013</v>
      </c>
      <c r="V31" s="597" t="str">
        <f>IF(V29="Blank", "NA", IF(W31="Blank", "NA", V29*W31))</f>
        <v>NA</v>
      </c>
      <c r="W31" s="597" t="str">
        <f>IF(W30="Blank", "Blank", 1-W30)</f>
        <v>Blank</v>
      </c>
    </row>
    <row r="32" spans="1:23">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f t="shared" si="0"/>
        <v>0</v>
      </c>
      <c r="R32">
        <f t="shared" si="1"/>
        <v>0</v>
      </c>
      <c r="S32" s="591" t="s">
        <v>94</v>
      </c>
      <c r="T32" s="591" t="s">
        <v>1829</v>
      </c>
      <c r="U32" s="591">
        <v>2013</v>
      </c>
      <c r="V32" t="str">
        <f>IF(ISBLANK(Q7_TotalBoard_US_2013), "Blank", Q7_TotalBoard_US_2013)</f>
        <v>Blank</v>
      </c>
    </row>
    <row r="33" spans="1:23">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f t="shared" si="0"/>
        <v>0</v>
      </c>
      <c r="R33">
        <f t="shared" si="1"/>
        <v>0</v>
      </c>
      <c r="S33" s="591" t="s">
        <v>94</v>
      </c>
      <c r="T33" s="591" t="s">
        <v>1830</v>
      </c>
      <c r="U33" s="591">
        <v>2013</v>
      </c>
      <c r="V33" s="597" t="str">
        <f>IF(V32="Blank", "NA", IF(W33="Blank", "NA", V32*W33))</f>
        <v>NA</v>
      </c>
      <c r="W33" t="str">
        <f>IF(ISBLANK(Q7_TotalBoardGovPct_US_2013), "Blank", Q7_TotalBoardGovPct_US_2013)</f>
        <v>Blank</v>
      </c>
    </row>
    <row r="34" spans="1:23">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f t="shared" ref="Q34:Q65" si="2">Q7_Schedule</f>
        <v>0</v>
      </c>
      <c r="R34">
        <f t="shared" ref="R34:R65" si="3">Q7_Source</f>
        <v>0</v>
      </c>
      <c r="S34" s="591" t="s">
        <v>94</v>
      </c>
      <c r="T34" s="591" t="s">
        <v>1831</v>
      </c>
      <c r="U34" s="591">
        <v>2013</v>
      </c>
      <c r="V34" s="597" t="str">
        <f>IF(V32="Blank", "NA", IF(W34="Blank", "NA", V32*W34))</f>
        <v>NA</v>
      </c>
      <c r="W34" s="597" t="str">
        <f>IF(W33="Blank", "Blank", 1-W33)</f>
        <v>Blank</v>
      </c>
    </row>
    <row r="35" spans="1:23">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f t="shared" si="2"/>
        <v>0</v>
      </c>
      <c r="R35">
        <f t="shared" si="3"/>
        <v>0</v>
      </c>
      <c r="S35" s="591" t="s">
        <v>94</v>
      </c>
      <c r="T35" s="591" t="s">
        <v>1832</v>
      </c>
      <c r="U35" s="591">
        <v>2013</v>
      </c>
      <c r="V35" t="str">
        <f>IF(ISBLANK(Q7_TotalBare_US_2013), "Blank", Q7_TotalBare_US_2013)</f>
        <v>Blank</v>
      </c>
    </row>
    <row r="36" spans="1:23">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f t="shared" si="2"/>
        <v>0</v>
      </c>
      <c r="R36">
        <f t="shared" si="3"/>
        <v>0</v>
      </c>
      <c r="S36" s="591" t="s">
        <v>94</v>
      </c>
      <c r="T36" s="591" t="s">
        <v>1833</v>
      </c>
      <c r="U36" s="591">
        <v>2013</v>
      </c>
      <c r="V36" s="597" t="str">
        <f>IF(V35="Blank", "NA", IF(W36="Blank", "NA", V35*W36))</f>
        <v>NA</v>
      </c>
      <c r="W36" t="str">
        <f>IF(ISBLANK(Q7_TotalBareGovPct_US_2013), "Blank", Q7_TotalBareGovPct_US_2013)</f>
        <v>Blank</v>
      </c>
    </row>
    <row r="37" spans="1:23">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f t="shared" si="2"/>
        <v>0</v>
      </c>
      <c r="R37">
        <f t="shared" si="3"/>
        <v>0</v>
      </c>
      <c r="S37" s="591" t="s">
        <v>94</v>
      </c>
      <c r="T37" s="591" t="s">
        <v>1834</v>
      </c>
      <c r="U37" s="591">
        <v>2013</v>
      </c>
      <c r="V37" s="597" t="str">
        <f>IF(V35="Blank", "NA", IF(W37="Blank", "NA", V35*W37))</f>
        <v>NA</v>
      </c>
      <c r="W37" s="597" t="str">
        <f>IF(W36="Blank", "Blank", 1-W36)</f>
        <v>Blank</v>
      </c>
    </row>
    <row r="38" spans="1:23">
      <c r="A38">
        <f>'D-RP-1'!A$2</f>
        <v>0</v>
      </c>
      <c r="B38">
        <f>'D-RP-1'!B$2</f>
        <v>0</v>
      </c>
      <c r="C38">
        <f>'D-RP-1'!C$2</f>
        <v>0</v>
      </c>
      <c r="D38">
        <f>'D-RP-1'!D$2</f>
        <v>0</v>
      </c>
      <c r="E38">
        <f>'D-RP-1'!E$2</f>
        <v>0</v>
      </c>
      <c r="F38">
        <f>'D-RP-1'!F$2</f>
        <v>0</v>
      </c>
      <c r="G38">
        <f>'D-RP-1'!G$2</f>
        <v>0</v>
      </c>
      <c r="H38">
        <f>'D-RP-1'!H$2</f>
        <v>0</v>
      </c>
      <c r="I38">
        <f>'D-RP-1'!I$2</f>
        <v>0</v>
      </c>
      <c r="J38">
        <f>'D-RP-1'!J$2</f>
        <v>0</v>
      </c>
      <c r="K38">
        <f>'D-RP-1'!K$2</f>
        <v>0</v>
      </c>
      <c r="L38" t="str">
        <f>'D-RP-1'!L$2</f>
        <v>No Sales</v>
      </c>
      <c r="M38">
        <f>'D-RP-1'!M$2</f>
        <v>0</v>
      </c>
      <c r="N38" t="str">
        <f>'D-RP-1'!N$2</f>
        <v>Insufficient Data</v>
      </c>
      <c r="O38" t="str">
        <f>'D-RP-1'!O$2</f>
        <v>Insufficient Data</v>
      </c>
      <c r="P38" t="str">
        <f>'D-RP-1'!P$2</f>
        <v>Uncalculated</v>
      </c>
      <c r="Q38">
        <f t="shared" si="2"/>
        <v>0</v>
      </c>
      <c r="R38">
        <f t="shared" si="3"/>
        <v>0</v>
      </c>
      <c r="S38" s="591" t="s">
        <v>95</v>
      </c>
      <c r="T38" s="591" t="s">
        <v>1826</v>
      </c>
      <c r="U38" s="591">
        <v>2013</v>
      </c>
      <c r="V38" s="588" t="str">
        <f>IF(ISBLANK(Q7_TotalSales_NonUS_2013), "Blank", Q7_TotalSales_NonUS_2013)</f>
        <v>Blank</v>
      </c>
      <c r="W38"/>
    </row>
    <row r="39" spans="1:23">
      <c r="A39">
        <f>'D-RP-1'!A$2</f>
        <v>0</v>
      </c>
      <c r="B39">
        <f>'D-RP-1'!B$2</f>
        <v>0</v>
      </c>
      <c r="C39">
        <f>'D-RP-1'!C$2</f>
        <v>0</v>
      </c>
      <c r="D39">
        <f>'D-RP-1'!D$2</f>
        <v>0</v>
      </c>
      <c r="E39">
        <f>'D-RP-1'!E$2</f>
        <v>0</v>
      </c>
      <c r="F39">
        <f>'D-RP-1'!F$2</f>
        <v>0</v>
      </c>
      <c r="G39">
        <f>'D-RP-1'!G$2</f>
        <v>0</v>
      </c>
      <c r="H39">
        <f>'D-RP-1'!H$2</f>
        <v>0</v>
      </c>
      <c r="I39">
        <f>'D-RP-1'!I$2</f>
        <v>0</v>
      </c>
      <c r="J39">
        <f>'D-RP-1'!J$2</f>
        <v>0</v>
      </c>
      <c r="K39">
        <f>'D-RP-1'!K$2</f>
        <v>0</v>
      </c>
      <c r="L39" t="str">
        <f>'D-RP-1'!L$2</f>
        <v>No Sales</v>
      </c>
      <c r="M39">
        <f>'D-RP-1'!M$2</f>
        <v>0</v>
      </c>
      <c r="N39" t="str">
        <f>'D-RP-1'!N$2</f>
        <v>Insufficient Data</v>
      </c>
      <c r="O39" t="str">
        <f>'D-RP-1'!O$2</f>
        <v>Insufficient Data</v>
      </c>
      <c r="P39" t="str">
        <f>'D-RP-1'!P$2</f>
        <v>Uncalculated</v>
      </c>
      <c r="Q39">
        <f t="shared" si="2"/>
        <v>0</v>
      </c>
      <c r="R39">
        <f t="shared" si="3"/>
        <v>0</v>
      </c>
      <c r="S39" s="591" t="s">
        <v>95</v>
      </c>
      <c r="T39" s="591" t="s">
        <v>1827</v>
      </c>
      <c r="U39" s="591">
        <v>2013</v>
      </c>
      <c r="V39" s="597" t="str">
        <f>IF(V38="Blank", "NA", IF(W39="Blank", "NA", V38*W39))</f>
        <v>NA</v>
      </c>
      <c r="W39" t="str">
        <f>IF(ISBLANK(Q7_TotalGovPct_NonUS_2013), "Blank", Q7_TotalGovPct_NonUS_2013)</f>
        <v>Blank</v>
      </c>
    </row>
    <row r="40" spans="1:23">
      <c r="A40">
        <f>'D-RP-1'!A$2</f>
        <v>0</v>
      </c>
      <c r="B40">
        <f>'D-RP-1'!B$2</f>
        <v>0</v>
      </c>
      <c r="C40">
        <f>'D-RP-1'!C$2</f>
        <v>0</v>
      </c>
      <c r="D40">
        <f>'D-RP-1'!D$2</f>
        <v>0</v>
      </c>
      <c r="E40">
        <f>'D-RP-1'!E$2</f>
        <v>0</v>
      </c>
      <c r="F40">
        <f>'D-RP-1'!F$2</f>
        <v>0</v>
      </c>
      <c r="G40">
        <f>'D-RP-1'!G$2</f>
        <v>0</v>
      </c>
      <c r="H40">
        <f>'D-RP-1'!H$2</f>
        <v>0</v>
      </c>
      <c r="I40">
        <f>'D-RP-1'!I$2</f>
        <v>0</v>
      </c>
      <c r="J40">
        <f>'D-RP-1'!J$2</f>
        <v>0</v>
      </c>
      <c r="K40">
        <f>'D-RP-1'!K$2</f>
        <v>0</v>
      </c>
      <c r="L40" t="str">
        <f>'D-RP-1'!L$2</f>
        <v>No Sales</v>
      </c>
      <c r="M40">
        <f>'D-RP-1'!M$2</f>
        <v>0</v>
      </c>
      <c r="N40" t="str">
        <f>'D-RP-1'!N$2</f>
        <v>Insufficient Data</v>
      </c>
      <c r="O40" t="str">
        <f>'D-RP-1'!O$2</f>
        <v>Insufficient Data</v>
      </c>
      <c r="P40" t="str">
        <f>'D-RP-1'!P$2</f>
        <v>Uncalculated</v>
      </c>
      <c r="Q40">
        <f t="shared" si="2"/>
        <v>0</v>
      </c>
      <c r="R40">
        <f t="shared" si="3"/>
        <v>0</v>
      </c>
      <c r="S40" s="591" t="s">
        <v>95</v>
      </c>
      <c r="T40" s="591" t="s">
        <v>1828</v>
      </c>
      <c r="U40" s="591">
        <v>2013</v>
      </c>
      <c r="V40" s="597" t="str">
        <f>IF(V38="Blank", "NA", IF(W40="Blank", "NA", V38*W40))</f>
        <v>NA</v>
      </c>
      <c r="W40" s="597" t="str">
        <f>IF(W39="Blank", "Blank", 1-W39)</f>
        <v>Blank</v>
      </c>
    </row>
    <row r="41" spans="1:23">
      <c r="A41">
        <f>'D-RP-1'!A$2</f>
        <v>0</v>
      </c>
      <c r="B41">
        <f>'D-RP-1'!B$2</f>
        <v>0</v>
      </c>
      <c r="C41">
        <f>'D-RP-1'!C$2</f>
        <v>0</v>
      </c>
      <c r="D41">
        <f>'D-RP-1'!D$2</f>
        <v>0</v>
      </c>
      <c r="E41">
        <f>'D-RP-1'!E$2</f>
        <v>0</v>
      </c>
      <c r="F41">
        <f>'D-RP-1'!F$2</f>
        <v>0</v>
      </c>
      <c r="G41">
        <f>'D-RP-1'!G$2</f>
        <v>0</v>
      </c>
      <c r="H41">
        <f>'D-RP-1'!H$2</f>
        <v>0</v>
      </c>
      <c r="I41">
        <f>'D-RP-1'!I$2</f>
        <v>0</v>
      </c>
      <c r="J41">
        <f>'D-RP-1'!J$2</f>
        <v>0</v>
      </c>
      <c r="K41">
        <f>'D-RP-1'!K$2</f>
        <v>0</v>
      </c>
      <c r="L41" t="str">
        <f>'D-RP-1'!L$2</f>
        <v>No Sales</v>
      </c>
      <c r="M41">
        <f>'D-RP-1'!M$2</f>
        <v>0</v>
      </c>
      <c r="N41" t="str">
        <f>'D-RP-1'!N$2</f>
        <v>Insufficient Data</v>
      </c>
      <c r="O41" t="str">
        <f>'D-RP-1'!O$2</f>
        <v>Insufficient Data</v>
      </c>
      <c r="P41" t="str">
        <f>'D-RP-1'!P$2</f>
        <v>Uncalculated</v>
      </c>
      <c r="Q41">
        <f t="shared" si="2"/>
        <v>0</v>
      </c>
      <c r="R41">
        <f t="shared" si="3"/>
        <v>0</v>
      </c>
      <c r="S41" s="591" t="s">
        <v>95</v>
      </c>
      <c r="T41" s="591" t="s">
        <v>1829</v>
      </c>
      <c r="U41" s="591">
        <v>2013</v>
      </c>
      <c r="V41" t="str">
        <f>IF(ISBLANK(Q7_TotalBoard_NonUS_2013), "Blank", Q7_TotalBoard_NonUS_2013)</f>
        <v>Blank</v>
      </c>
    </row>
    <row r="42" spans="1:23">
      <c r="A42">
        <f>'D-RP-1'!A$2</f>
        <v>0</v>
      </c>
      <c r="B42">
        <f>'D-RP-1'!B$2</f>
        <v>0</v>
      </c>
      <c r="C42">
        <f>'D-RP-1'!C$2</f>
        <v>0</v>
      </c>
      <c r="D42">
        <f>'D-RP-1'!D$2</f>
        <v>0</v>
      </c>
      <c r="E42">
        <f>'D-RP-1'!E$2</f>
        <v>0</v>
      </c>
      <c r="F42">
        <f>'D-RP-1'!F$2</f>
        <v>0</v>
      </c>
      <c r="G42">
        <f>'D-RP-1'!G$2</f>
        <v>0</v>
      </c>
      <c r="H42">
        <f>'D-RP-1'!H$2</f>
        <v>0</v>
      </c>
      <c r="I42">
        <f>'D-RP-1'!I$2</f>
        <v>0</v>
      </c>
      <c r="J42">
        <f>'D-RP-1'!J$2</f>
        <v>0</v>
      </c>
      <c r="K42">
        <f>'D-RP-1'!K$2</f>
        <v>0</v>
      </c>
      <c r="L42" t="str">
        <f>'D-RP-1'!L$2</f>
        <v>No Sales</v>
      </c>
      <c r="M42">
        <f>'D-RP-1'!M$2</f>
        <v>0</v>
      </c>
      <c r="N42" t="str">
        <f>'D-RP-1'!N$2</f>
        <v>Insufficient Data</v>
      </c>
      <c r="O42" t="str">
        <f>'D-RP-1'!O$2</f>
        <v>Insufficient Data</v>
      </c>
      <c r="P42" t="str">
        <f>'D-RP-1'!P$2</f>
        <v>Uncalculated</v>
      </c>
      <c r="Q42">
        <f t="shared" si="2"/>
        <v>0</v>
      </c>
      <c r="R42">
        <f t="shared" si="3"/>
        <v>0</v>
      </c>
      <c r="S42" s="591" t="s">
        <v>95</v>
      </c>
      <c r="T42" s="591" t="s">
        <v>1830</v>
      </c>
      <c r="U42" s="591">
        <v>2013</v>
      </c>
      <c r="V42" s="597" t="str">
        <f>IF(V41="Blank", "NA", IF(W42="Blank", "NA", V41*W42))</f>
        <v>NA</v>
      </c>
      <c r="W42" t="str">
        <f>IF(ISBLANK(Q7_TotalBoardGovPct_NonUS_2013), "Blank", Q7_TotalBoardGovPct_NonUS_2013)</f>
        <v>Blank</v>
      </c>
    </row>
    <row r="43" spans="1:23">
      <c r="A43">
        <f>'D-RP-1'!A$2</f>
        <v>0</v>
      </c>
      <c r="B43">
        <f>'D-RP-1'!B$2</f>
        <v>0</v>
      </c>
      <c r="C43">
        <f>'D-RP-1'!C$2</f>
        <v>0</v>
      </c>
      <c r="D43">
        <f>'D-RP-1'!D$2</f>
        <v>0</v>
      </c>
      <c r="E43">
        <f>'D-RP-1'!E$2</f>
        <v>0</v>
      </c>
      <c r="F43">
        <f>'D-RP-1'!F$2</f>
        <v>0</v>
      </c>
      <c r="G43">
        <f>'D-RP-1'!G$2</f>
        <v>0</v>
      </c>
      <c r="H43">
        <f>'D-RP-1'!H$2</f>
        <v>0</v>
      </c>
      <c r="I43">
        <f>'D-RP-1'!I$2</f>
        <v>0</v>
      </c>
      <c r="J43">
        <f>'D-RP-1'!J$2</f>
        <v>0</v>
      </c>
      <c r="K43">
        <f>'D-RP-1'!K$2</f>
        <v>0</v>
      </c>
      <c r="L43" t="str">
        <f>'D-RP-1'!L$2</f>
        <v>No Sales</v>
      </c>
      <c r="M43">
        <f>'D-RP-1'!M$2</f>
        <v>0</v>
      </c>
      <c r="N43" t="str">
        <f>'D-RP-1'!N$2</f>
        <v>Insufficient Data</v>
      </c>
      <c r="O43" t="str">
        <f>'D-RP-1'!O$2</f>
        <v>Insufficient Data</v>
      </c>
      <c r="P43" t="str">
        <f>'D-RP-1'!P$2</f>
        <v>Uncalculated</v>
      </c>
      <c r="Q43">
        <f t="shared" si="2"/>
        <v>0</v>
      </c>
      <c r="R43">
        <f t="shared" si="3"/>
        <v>0</v>
      </c>
      <c r="S43" s="591" t="s">
        <v>95</v>
      </c>
      <c r="T43" s="591" t="s">
        <v>1831</v>
      </c>
      <c r="U43" s="591">
        <v>2013</v>
      </c>
      <c r="V43" s="597" t="str">
        <f>IF(V41="Blank", "NA", IF(W43="Blank", "NA", V41*W43))</f>
        <v>NA</v>
      </c>
      <c r="W43" s="597" t="str">
        <f>IF(W42="Blank", "Blank", 1-W42)</f>
        <v>Blank</v>
      </c>
    </row>
    <row r="44" spans="1:23">
      <c r="A44">
        <f>'D-RP-1'!A$2</f>
        <v>0</v>
      </c>
      <c r="B44">
        <f>'D-RP-1'!B$2</f>
        <v>0</v>
      </c>
      <c r="C44">
        <f>'D-RP-1'!C$2</f>
        <v>0</v>
      </c>
      <c r="D44">
        <f>'D-RP-1'!D$2</f>
        <v>0</v>
      </c>
      <c r="E44">
        <f>'D-RP-1'!E$2</f>
        <v>0</v>
      </c>
      <c r="F44">
        <f>'D-RP-1'!F$2</f>
        <v>0</v>
      </c>
      <c r="G44">
        <f>'D-RP-1'!G$2</f>
        <v>0</v>
      </c>
      <c r="H44">
        <f>'D-RP-1'!H$2</f>
        <v>0</v>
      </c>
      <c r="I44">
        <f>'D-RP-1'!I$2</f>
        <v>0</v>
      </c>
      <c r="J44">
        <f>'D-RP-1'!J$2</f>
        <v>0</v>
      </c>
      <c r="K44">
        <f>'D-RP-1'!K$2</f>
        <v>0</v>
      </c>
      <c r="L44" t="str">
        <f>'D-RP-1'!L$2</f>
        <v>No Sales</v>
      </c>
      <c r="M44">
        <f>'D-RP-1'!M$2</f>
        <v>0</v>
      </c>
      <c r="N44" t="str">
        <f>'D-RP-1'!N$2</f>
        <v>Insufficient Data</v>
      </c>
      <c r="O44" t="str">
        <f>'D-RP-1'!O$2</f>
        <v>Insufficient Data</v>
      </c>
      <c r="P44" t="str">
        <f>'D-RP-1'!P$2</f>
        <v>Uncalculated</v>
      </c>
      <c r="Q44">
        <f t="shared" si="2"/>
        <v>0</v>
      </c>
      <c r="R44">
        <f t="shared" si="3"/>
        <v>0</v>
      </c>
      <c r="S44" s="591" t="s">
        <v>95</v>
      </c>
      <c r="T44" s="591" t="s">
        <v>1832</v>
      </c>
      <c r="U44" s="591">
        <v>2013</v>
      </c>
      <c r="V44" t="str">
        <f>IF(ISBLANK(Q7_TotalBare_NonUS_2013), "Blank", Q7_TotalBare_NonUS_2013)</f>
        <v>Blank</v>
      </c>
    </row>
    <row r="45" spans="1:23">
      <c r="A45">
        <f>'D-RP-1'!A$2</f>
        <v>0</v>
      </c>
      <c r="B45">
        <f>'D-RP-1'!B$2</f>
        <v>0</v>
      </c>
      <c r="C45">
        <f>'D-RP-1'!C$2</f>
        <v>0</v>
      </c>
      <c r="D45">
        <f>'D-RP-1'!D$2</f>
        <v>0</v>
      </c>
      <c r="E45">
        <f>'D-RP-1'!E$2</f>
        <v>0</v>
      </c>
      <c r="F45">
        <f>'D-RP-1'!F$2</f>
        <v>0</v>
      </c>
      <c r="G45">
        <f>'D-RP-1'!G$2</f>
        <v>0</v>
      </c>
      <c r="H45">
        <f>'D-RP-1'!H$2</f>
        <v>0</v>
      </c>
      <c r="I45">
        <f>'D-RP-1'!I$2</f>
        <v>0</v>
      </c>
      <c r="J45">
        <f>'D-RP-1'!J$2</f>
        <v>0</v>
      </c>
      <c r="K45">
        <f>'D-RP-1'!K$2</f>
        <v>0</v>
      </c>
      <c r="L45" t="str">
        <f>'D-RP-1'!L$2</f>
        <v>No Sales</v>
      </c>
      <c r="M45">
        <f>'D-RP-1'!M$2</f>
        <v>0</v>
      </c>
      <c r="N45" t="str">
        <f>'D-RP-1'!N$2</f>
        <v>Insufficient Data</v>
      </c>
      <c r="O45" t="str">
        <f>'D-RP-1'!O$2</f>
        <v>Insufficient Data</v>
      </c>
      <c r="P45" t="str">
        <f>'D-RP-1'!P$2</f>
        <v>Uncalculated</v>
      </c>
      <c r="Q45">
        <f t="shared" si="2"/>
        <v>0</v>
      </c>
      <c r="R45">
        <f t="shared" si="3"/>
        <v>0</v>
      </c>
      <c r="S45" s="591" t="s">
        <v>95</v>
      </c>
      <c r="T45" s="591" t="s">
        <v>1833</v>
      </c>
      <c r="U45" s="591">
        <v>2013</v>
      </c>
      <c r="V45" s="597" t="str">
        <f>IF(V44="Blank", "NA", IF(W45="Blank", "NA", V44*W45))</f>
        <v>NA</v>
      </c>
      <c r="W45" t="str">
        <f>IF(ISBLANK(Q7_TotalBareGovPct_NonUS_2013), "Blank", Q7_TotalBareGovPct_NonUS_2013)</f>
        <v>Blank</v>
      </c>
    </row>
    <row r="46" spans="1:23">
      <c r="A46">
        <f>'D-RP-1'!A$2</f>
        <v>0</v>
      </c>
      <c r="B46">
        <f>'D-RP-1'!B$2</f>
        <v>0</v>
      </c>
      <c r="C46">
        <f>'D-RP-1'!C$2</f>
        <v>0</v>
      </c>
      <c r="D46">
        <f>'D-RP-1'!D$2</f>
        <v>0</v>
      </c>
      <c r="E46">
        <f>'D-RP-1'!E$2</f>
        <v>0</v>
      </c>
      <c r="F46">
        <f>'D-RP-1'!F$2</f>
        <v>0</v>
      </c>
      <c r="G46">
        <f>'D-RP-1'!G$2</f>
        <v>0</v>
      </c>
      <c r="H46">
        <f>'D-RP-1'!H$2</f>
        <v>0</v>
      </c>
      <c r="I46">
        <f>'D-RP-1'!I$2</f>
        <v>0</v>
      </c>
      <c r="J46">
        <f>'D-RP-1'!J$2</f>
        <v>0</v>
      </c>
      <c r="K46">
        <f>'D-RP-1'!K$2</f>
        <v>0</v>
      </c>
      <c r="L46" t="str">
        <f>'D-RP-1'!L$2</f>
        <v>No Sales</v>
      </c>
      <c r="M46">
        <f>'D-RP-1'!M$2</f>
        <v>0</v>
      </c>
      <c r="N46" t="str">
        <f>'D-RP-1'!N$2</f>
        <v>Insufficient Data</v>
      </c>
      <c r="O46" t="str">
        <f>'D-RP-1'!O$2</f>
        <v>Insufficient Data</v>
      </c>
      <c r="P46" t="str">
        <f>'D-RP-1'!P$2</f>
        <v>Uncalculated</v>
      </c>
      <c r="Q46">
        <f t="shared" si="2"/>
        <v>0</v>
      </c>
      <c r="R46">
        <f t="shared" si="3"/>
        <v>0</v>
      </c>
      <c r="S46" s="591" t="s">
        <v>95</v>
      </c>
      <c r="T46" s="591" t="s">
        <v>1834</v>
      </c>
      <c r="U46" s="591">
        <v>2013</v>
      </c>
      <c r="V46" s="597" t="str">
        <f>IF(V44="Blank", "NA", IF(W46="Blank", "NA", V44*W46))</f>
        <v>NA</v>
      </c>
      <c r="W46" s="597" t="str">
        <f>IF(W45="Blank", "Blank", 1-W45)</f>
        <v>Blank</v>
      </c>
    </row>
    <row r="47" spans="1:23">
      <c r="A47">
        <f>'D-RP-1'!A$2</f>
        <v>0</v>
      </c>
      <c r="B47">
        <f>'D-RP-1'!B$2</f>
        <v>0</v>
      </c>
      <c r="C47">
        <f>'D-RP-1'!C$2</f>
        <v>0</v>
      </c>
      <c r="D47">
        <f>'D-RP-1'!D$2</f>
        <v>0</v>
      </c>
      <c r="E47">
        <f>'D-RP-1'!E$2</f>
        <v>0</v>
      </c>
      <c r="F47">
        <f>'D-RP-1'!F$2</f>
        <v>0</v>
      </c>
      <c r="G47">
        <f>'D-RP-1'!G$2</f>
        <v>0</v>
      </c>
      <c r="H47">
        <f>'D-RP-1'!H$2</f>
        <v>0</v>
      </c>
      <c r="I47">
        <f>'D-RP-1'!I$2</f>
        <v>0</v>
      </c>
      <c r="J47">
        <f>'D-RP-1'!J$2</f>
        <v>0</v>
      </c>
      <c r="K47">
        <f>'D-RP-1'!K$2</f>
        <v>0</v>
      </c>
      <c r="L47" t="str">
        <f>'D-RP-1'!L$2</f>
        <v>No Sales</v>
      </c>
      <c r="M47">
        <f>'D-RP-1'!M$2</f>
        <v>0</v>
      </c>
      <c r="N47" t="str">
        <f>'D-RP-1'!N$2</f>
        <v>Insufficient Data</v>
      </c>
      <c r="O47" t="str">
        <f>'D-RP-1'!O$2</f>
        <v>Insufficient Data</v>
      </c>
      <c r="P47" t="str">
        <f>'D-RP-1'!P$2</f>
        <v>Uncalculated</v>
      </c>
      <c r="Q47">
        <f t="shared" si="2"/>
        <v>0</v>
      </c>
      <c r="R47">
        <f t="shared" si="3"/>
        <v>0</v>
      </c>
      <c r="S47" s="591" t="s">
        <v>1835</v>
      </c>
      <c r="T47" s="591" t="s">
        <v>1826</v>
      </c>
      <c r="U47" s="591">
        <v>2013</v>
      </c>
      <c r="V47" s="597" t="str">
        <f>IF(V29="Blank", IF(V38="Blank", "Blank", V38), IF(V38="Blank", V29, V29+V38))</f>
        <v>Blank</v>
      </c>
      <c r="W47" s="597"/>
    </row>
    <row r="48" spans="1:23">
      <c r="A48">
        <f>'D-RP-1'!A$2</f>
        <v>0</v>
      </c>
      <c r="B48">
        <f>'D-RP-1'!B$2</f>
        <v>0</v>
      </c>
      <c r="C48">
        <f>'D-RP-1'!C$2</f>
        <v>0</v>
      </c>
      <c r="D48">
        <f>'D-RP-1'!D$2</f>
        <v>0</v>
      </c>
      <c r="E48">
        <f>'D-RP-1'!E$2</f>
        <v>0</v>
      </c>
      <c r="F48">
        <f>'D-RP-1'!F$2</f>
        <v>0</v>
      </c>
      <c r="G48">
        <f>'D-RP-1'!G$2</f>
        <v>0</v>
      </c>
      <c r="H48">
        <f>'D-RP-1'!H$2</f>
        <v>0</v>
      </c>
      <c r="I48">
        <f>'D-RP-1'!I$2</f>
        <v>0</v>
      </c>
      <c r="J48">
        <f>'D-RP-1'!J$2</f>
        <v>0</v>
      </c>
      <c r="K48">
        <f>'D-RP-1'!K$2</f>
        <v>0</v>
      </c>
      <c r="L48" t="str">
        <f>'D-RP-1'!L$2</f>
        <v>No Sales</v>
      </c>
      <c r="M48">
        <f>'D-RP-1'!M$2</f>
        <v>0</v>
      </c>
      <c r="N48" t="str">
        <f>'D-RP-1'!N$2</f>
        <v>Insufficient Data</v>
      </c>
      <c r="O48" t="str">
        <f>'D-RP-1'!O$2</f>
        <v>Insufficient Data</v>
      </c>
      <c r="P48" t="str">
        <f>'D-RP-1'!P$2</f>
        <v>Uncalculated</v>
      </c>
      <c r="Q48">
        <f t="shared" si="2"/>
        <v>0</v>
      </c>
      <c r="R48">
        <f t="shared" si="3"/>
        <v>0</v>
      </c>
      <c r="S48" s="591" t="s">
        <v>1835</v>
      </c>
      <c r="T48" s="591" t="s">
        <v>1827</v>
      </c>
      <c r="U48" s="591">
        <v>2013</v>
      </c>
      <c r="V48" s="597" t="str">
        <f>IF(V30="NA", IF(V39="NA", "NA", V39), IF(V39="NA", V30, V30+V39))</f>
        <v>NA</v>
      </c>
      <c r="W48" s="597" t="str">
        <f>IF(ISERROR(V48/V47), "NA", V48/V47)</f>
        <v>NA</v>
      </c>
    </row>
    <row r="49" spans="1:34">
      <c r="A49">
        <f>'D-RP-1'!A$2</f>
        <v>0</v>
      </c>
      <c r="B49">
        <f>'D-RP-1'!B$2</f>
        <v>0</v>
      </c>
      <c r="C49">
        <f>'D-RP-1'!C$2</f>
        <v>0</v>
      </c>
      <c r="D49">
        <f>'D-RP-1'!D$2</f>
        <v>0</v>
      </c>
      <c r="E49">
        <f>'D-RP-1'!E$2</f>
        <v>0</v>
      </c>
      <c r="F49">
        <f>'D-RP-1'!F$2</f>
        <v>0</v>
      </c>
      <c r="G49">
        <f>'D-RP-1'!G$2</f>
        <v>0</v>
      </c>
      <c r="H49">
        <f>'D-RP-1'!H$2</f>
        <v>0</v>
      </c>
      <c r="I49">
        <f>'D-RP-1'!I$2</f>
        <v>0</v>
      </c>
      <c r="J49">
        <f>'D-RP-1'!J$2</f>
        <v>0</v>
      </c>
      <c r="K49">
        <f>'D-RP-1'!K$2</f>
        <v>0</v>
      </c>
      <c r="L49" t="str">
        <f>'D-RP-1'!L$2</f>
        <v>No Sales</v>
      </c>
      <c r="M49">
        <f>'D-RP-1'!M$2</f>
        <v>0</v>
      </c>
      <c r="N49" t="str">
        <f>'D-RP-1'!N$2</f>
        <v>Insufficient Data</v>
      </c>
      <c r="O49" t="str">
        <f>'D-RP-1'!O$2</f>
        <v>Insufficient Data</v>
      </c>
      <c r="P49" t="str">
        <f>'D-RP-1'!P$2</f>
        <v>Uncalculated</v>
      </c>
      <c r="Q49">
        <f t="shared" si="2"/>
        <v>0</v>
      </c>
      <c r="R49">
        <f t="shared" si="3"/>
        <v>0</v>
      </c>
      <c r="S49" s="591" t="s">
        <v>1835</v>
      </c>
      <c r="T49" s="591" t="s">
        <v>1828</v>
      </c>
      <c r="U49" s="591">
        <v>2013</v>
      </c>
      <c r="V49" s="597" t="str">
        <f>IF(V31="NA", IF(V40="NA", "NA", V40), IF(V40="NA", V31, V31+V40))</f>
        <v>NA</v>
      </c>
      <c r="W49" s="597" t="str">
        <f>IF(ISERROR(V49/V47), "NA", V49/V47)</f>
        <v>NA</v>
      </c>
    </row>
    <row r="50" spans="1:34">
      <c r="A50">
        <f>'D-RP-1'!A$2</f>
        <v>0</v>
      </c>
      <c r="B50">
        <f>'D-RP-1'!B$2</f>
        <v>0</v>
      </c>
      <c r="C50">
        <f>'D-RP-1'!C$2</f>
        <v>0</v>
      </c>
      <c r="D50">
        <f>'D-RP-1'!D$2</f>
        <v>0</v>
      </c>
      <c r="E50">
        <f>'D-RP-1'!E$2</f>
        <v>0</v>
      </c>
      <c r="F50">
        <f>'D-RP-1'!F$2</f>
        <v>0</v>
      </c>
      <c r="G50">
        <f>'D-RP-1'!G$2</f>
        <v>0</v>
      </c>
      <c r="H50">
        <f>'D-RP-1'!H$2</f>
        <v>0</v>
      </c>
      <c r="I50">
        <f>'D-RP-1'!I$2</f>
        <v>0</v>
      </c>
      <c r="J50">
        <f>'D-RP-1'!J$2</f>
        <v>0</v>
      </c>
      <c r="K50">
        <f>'D-RP-1'!K$2</f>
        <v>0</v>
      </c>
      <c r="L50" t="str">
        <f>'D-RP-1'!L$2</f>
        <v>No Sales</v>
      </c>
      <c r="M50">
        <f>'D-RP-1'!M$2</f>
        <v>0</v>
      </c>
      <c r="N50" t="str">
        <f>'D-RP-1'!N$2</f>
        <v>Insufficient Data</v>
      </c>
      <c r="O50" t="str">
        <f>'D-RP-1'!O$2</f>
        <v>Insufficient Data</v>
      </c>
      <c r="P50" t="str">
        <f>'D-RP-1'!P$2</f>
        <v>Uncalculated</v>
      </c>
      <c r="Q50">
        <f t="shared" si="2"/>
        <v>0</v>
      </c>
      <c r="R50">
        <f t="shared" si="3"/>
        <v>0</v>
      </c>
      <c r="S50" s="591" t="s">
        <v>1835</v>
      </c>
      <c r="T50" s="591" t="s">
        <v>1829</v>
      </c>
      <c r="U50" s="591">
        <v>2013</v>
      </c>
      <c r="V50" s="597" t="str">
        <f>IF(V32="Blank", IF(V41="Blank", "Blank", V41), IF(V41="Blank", V32, V32+V41))</f>
        <v>Blank</v>
      </c>
      <c r="W50" s="597"/>
    </row>
    <row r="51" spans="1:34">
      <c r="A51">
        <f>'D-RP-1'!A$2</f>
        <v>0</v>
      </c>
      <c r="B51">
        <f>'D-RP-1'!B$2</f>
        <v>0</v>
      </c>
      <c r="C51">
        <f>'D-RP-1'!C$2</f>
        <v>0</v>
      </c>
      <c r="D51">
        <f>'D-RP-1'!D$2</f>
        <v>0</v>
      </c>
      <c r="E51">
        <f>'D-RP-1'!E$2</f>
        <v>0</v>
      </c>
      <c r="F51">
        <f>'D-RP-1'!F$2</f>
        <v>0</v>
      </c>
      <c r="G51">
        <f>'D-RP-1'!G$2</f>
        <v>0</v>
      </c>
      <c r="H51">
        <f>'D-RP-1'!H$2</f>
        <v>0</v>
      </c>
      <c r="I51">
        <f>'D-RP-1'!I$2</f>
        <v>0</v>
      </c>
      <c r="J51">
        <f>'D-RP-1'!J$2</f>
        <v>0</v>
      </c>
      <c r="K51">
        <f>'D-RP-1'!K$2</f>
        <v>0</v>
      </c>
      <c r="L51" t="str">
        <f>'D-RP-1'!L$2</f>
        <v>No Sales</v>
      </c>
      <c r="M51">
        <f>'D-RP-1'!M$2</f>
        <v>0</v>
      </c>
      <c r="N51" t="str">
        <f>'D-RP-1'!N$2</f>
        <v>Insufficient Data</v>
      </c>
      <c r="O51" t="str">
        <f>'D-RP-1'!O$2</f>
        <v>Insufficient Data</v>
      </c>
      <c r="P51" t="str">
        <f>'D-RP-1'!P$2</f>
        <v>Uncalculated</v>
      </c>
      <c r="Q51">
        <f t="shared" si="2"/>
        <v>0</v>
      </c>
      <c r="R51">
        <f t="shared" si="3"/>
        <v>0</v>
      </c>
      <c r="S51" s="591" t="s">
        <v>1835</v>
      </c>
      <c r="T51" s="591" t="s">
        <v>1830</v>
      </c>
      <c r="U51" s="591">
        <v>2013</v>
      </c>
      <c r="V51" s="597" t="str">
        <f>IF(V33="NA", IF(V42="NA", "NA", V42), IF(V42="NA", V33, V33+V42))</f>
        <v>NA</v>
      </c>
      <c r="W51" s="597" t="str">
        <f>IF(ISERROR(V51/V50), "NA", V51/V50)</f>
        <v>NA</v>
      </c>
    </row>
    <row r="52" spans="1:34">
      <c r="A52">
        <f>'D-RP-1'!A$2</f>
        <v>0</v>
      </c>
      <c r="B52">
        <f>'D-RP-1'!B$2</f>
        <v>0</v>
      </c>
      <c r="C52">
        <f>'D-RP-1'!C$2</f>
        <v>0</v>
      </c>
      <c r="D52">
        <f>'D-RP-1'!D$2</f>
        <v>0</v>
      </c>
      <c r="E52">
        <f>'D-RP-1'!E$2</f>
        <v>0</v>
      </c>
      <c r="F52">
        <f>'D-RP-1'!F$2</f>
        <v>0</v>
      </c>
      <c r="G52">
        <f>'D-RP-1'!G$2</f>
        <v>0</v>
      </c>
      <c r="H52">
        <f>'D-RP-1'!H$2</f>
        <v>0</v>
      </c>
      <c r="I52">
        <f>'D-RP-1'!I$2</f>
        <v>0</v>
      </c>
      <c r="J52">
        <f>'D-RP-1'!J$2</f>
        <v>0</v>
      </c>
      <c r="K52">
        <f>'D-RP-1'!K$2</f>
        <v>0</v>
      </c>
      <c r="L52" t="str">
        <f>'D-RP-1'!L$2</f>
        <v>No Sales</v>
      </c>
      <c r="M52">
        <f>'D-RP-1'!M$2</f>
        <v>0</v>
      </c>
      <c r="N52" t="str">
        <f>'D-RP-1'!N$2</f>
        <v>Insufficient Data</v>
      </c>
      <c r="O52" t="str">
        <f>'D-RP-1'!O$2</f>
        <v>Insufficient Data</v>
      </c>
      <c r="P52" t="str">
        <f>'D-RP-1'!P$2</f>
        <v>Uncalculated</v>
      </c>
      <c r="Q52">
        <f t="shared" si="2"/>
        <v>0</v>
      </c>
      <c r="R52">
        <f t="shared" si="3"/>
        <v>0</v>
      </c>
      <c r="S52" s="591" t="s">
        <v>1835</v>
      </c>
      <c r="T52" s="591" t="s">
        <v>1831</v>
      </c>
      <c r="U52" s="591">
        <v>2013</v>
      </c>
      <c r="V52" s="597" t="str">
        <f>IF(V34="NA", IF(V43="NA", "NA", V43), IF(V43="NA", V34, V34+V43))</f>
        <v>NA</v>
      </c>
      <c r="W52" s="597" t="str">
        <f>IF(ISERROR(V52/V50), "NA", V52/V50)</f>
        <v>NA</v>
      </c>
    </row>
    <row r="53" spans="1:34">
      <c r="A53">
        <f>'D-RP-1'!A$2</f>
        <v>0</v>
      </c>
      <c r="B53">
        <f>'D-RP-1'!B$2</f>
        <v>0</v>
      </c>
      <c r="C53">
        <f>'D-RP-1'!C$2</f>
        <v>0</v>
      </c>
      <c r="D53">
        <f>'D-RP-1'!D$2</f>
        <v>0</v>
      </c>
      <c r="E53">
        <f>'D-RP-1'!E$2</f>
        <v>0</v>
      </c>
      <c r="F53">
        <f>'D-RP-1'!F$2</f>
        <v>0</v>
      </c>
      <c r="G53">
        <f>'D-RP-1'!G$2</f>
        <v>0</v>
      </c>
      <c r="H53">
        <f>'D-RP-1'!H$2</f>
        <v>0</v>
      </c>
      <c r="I53">
        <f>'D-RP-1'!I$2</f>
        <v>0</v>
      </c>
      <c r="J53">
        <f>'D-RP-1'!J$2</f>
        <v>0</v>
      </c>
      <c r="K53">
        <f>'D-RP-1'!K$2</f>
        <v>0</v>
      </c>
      <c r="L53" t="str">
        <f>'D-RP-1'!L$2</f>
        <v>No Sales</v>
      </c>
      <c r="M53">
        <f>'D-RP-1'!M$2</f>
        <v>0</v>
      </c>
      <c r="N53" t="str">
        <f>'D-RP-1'!N$2</f>
        <v>Insufficient Data</v>
      </c>
      <c r="O53" t="str">
        <f>'D-RP-1'!O$2</f>
        <v>Insufficient Data</v>
      </c>
      <c r="P53" t="str">
        <f>'D-RP-1'!P$2</f>
        <v>Uncalculated</v>
      </c>
      <c r="Q53">
        <f t="shared" si="2"/>
        <v>0</v>
      </c>
      <c r="R53">
        <f t="shared" si="3"/>
        <v>0</v>
      </c>
      <c r="S53" s="591" t="s">
        <v>1835</v>
      </c>
      <c r="T53" s="591" t="s">
        <v>1832</v>
      </c>
      <c r="U53" s="591">
        <v>2013</v>
      </c>
      <c r="V53" s="597" t="str">
        <f>IF(V35="Blank", IF(V44="Blank", "Blank", V44), IF(V44="Blank", V35, V35+V44))</f>
        <v>Blank</v>
      </c>
      <c r="W53" s="597"/>
    </row>
    <row r="54" spans="1:34">
      <c r="A54">
        <f>'D-RP-1'!A$2</f>
        <v>0</v>
      </c>
      <c r="B54">
        <f>'D-RP-1'!B$2</f>
        <v>0</v>
      </c>
      <c r="C54">
        <f>'D-RP-1'!C$2</f>
        <v>0</v>
      </c>
      <c r="D54">
        <f>'D-RP-1'!D$2</f>
        <v>0</v>
      </c>
      <c r="E54">
        <f>'D-RP-1'!E$2</f>
        <v>0</v>
      </c>
      <c r="F54">
        <f>'D-RP-1'!F$2</f>
        <v>0</v>
      </c>
      <c r="G54">
        <f>'D-RP-1'!G$2</f>
        <v>0</v>
      </c>
      <c r="H54">
        <f>'D-RP-1'!H$2</f>
        <v>0</v>
      </c>
      <c r="I54">
        <f>'D-RP-1'!I$2</f>
        <v>0</v>
      </c>
      <c r="J54">
        <f>'D-RP-1'!J$2</f>
        <v>0</v>
      </c>
      <c r="K54">
        <f>'D-RP-1'!K$2</f>
        <v>0</v>
      </c>
      <c r="L54" t="str">
        <f>'D-RP-1'!L$2</f>
        <v>No Sales</v>
      </c>
      <c r="M54">
        <f>'D-RP-1'!M$2</f>
        <v>0</v>
      </c>
      <c r="N54" t="str">
        <f>'D-RP-1'!N$2</f>
        <v>Insufficient Data</v>
      </c>
      <c r="O54" t="str">
        <f>'D-RP-1'!O$2</f>
        <v>Insufficient Data</v>
      </c>
      <c r="P54" t="str">
        <f>'D-RP-1'!P$2</f>
        <v>Uncalculated</v>
      </c>
      <c r="Q54">
        <f t="shared" si="2"/>
        <v>0</v>
      </c>
      <c r="R54">
        <f t="shared" si="3"/>
        <v>0</v>
      </c>
      <c r="S54" s="591" t="s">
        <v>1835</v>
      </c>
      <c r="T54" s="591" t="s">
        <v>1833</v>
      </c>
      <c r="U54" s="591">
        <v>2013</v>
      </c>
      <c r="V54" s="597" t="str">
        <f>IF(V36="NA", IF(V45="NA", "NA", V45), IF(V45="NA", V36, V36+V45))</f>
        <v>NA</v>
      </c>
      <c r="W54" s="597" t="str">
        <f>IF(ISERROR(V54/V53), "NA", V54/V53)</f>
        <v>NA</v>
      </c>
    </row>
    <row r="55" spans="1:34">
      <c r="A55">
        <f>'D-RP-1'!A$2</f>
        <v>0</v>
      </c>
      <c r="B55">
        <f>'D-RP-1'!B$2</f>
        <v>0</v>
      </c>
      <c r="C55">
        <f>'D-RP-1'!C$2</f>
        <v>0</v>
      </c>
      <c r="D55">
        <f>'D-RP-1'!D$2</f>
        <v>0</v>
      </c>
      <c r="E55">
        <f>'D-RP-1'!E$2</f>
        <v>0</v>
      </c>
      <c r="F55">
        <f>'D-RP-1'!F$2</f>
        <v>0</v>
      </c>
      <c r="G55">
        <f>'D-RP-1'!G$2</f>
        <v>0</v>
      </c>
      <c r="H55">
        <f>'D-RP-1'!H$2</f>
        <v>0</v>
      </c>
      <c r="I55">
        <f>'D-RP-1'!I$2</f>
        <v>0</v>
      </c>
      <c r="J55">
        <f>'D-RP-1'!J$2</f>
        <v>0</v>
      </c>
      <c r="K55">
        <f>'D-RP-1'!K$2</f>
        <v>0</v>
      </c>
      <c r="L55" t="str">
        <f>'D-RP-1'!L$2</f>
        <v>No Sales</v>
      </c>
      <c r="M55">
        <f>'D-RP-1'!M$2</f>
        <v>0</v>
      </c>
      <c r="N55" t="str">
        <f>'D-RP-1'!N$2</f>
        <v>Insufficient Data</v>
      </c>
      <c r="O55" t="str">
        <f>'D-RP-1'!O$2</f>
        <v>Insufficient Data</v>
      </c>
      <c r="P55" t="str">
        <f>'D-RP-1'!P$2</f>
        <v>Uncalculated</v>
      </c>
      <c r="Q55">
        <f t="shared" si="2"/>
        <v>0</v>
      </c>
      <c r="R55">
        <f t="shared" si="3"/>
        <v>0</v>
      </c>
      <c r="S55" s="591" t="s">
        <v>1835</v>
      </c>
      <c r="T55" s="591" t="s">
        <v>1834</v>
      </c>
      <c r="U55" s="591">
        <v>2013</v>
      </c>
      <c r="V55" s="597" t="str">
        <f>IF(V37="NA", IF(V46="NA", "NA", V46), IF(V46="NA", V37, V37+V46))</f>
        <v>NA</v>
      </c>
      <c r="W55" s="597" t="str">
        <f>IF(ISERROR(V55/V53), "NA", V55/V53)</f>
        <v>NA</v>
      </c>
    </row>
    <row r="56" spans="1:34">
      <c r="A56">
        <f>'D-RP-1'!A$2</f>
        <v>0</v>
      </c>
      <c r="B56">
        <f>'D-RP-1'!B$2</f>
        <v>0</v>
      </c>
      <c r="C56">
        <f>'D-RP-1'!C$2</f>
        <v>0</v>
      </c>
      <c r="D56">
        <f>'D-RP-1'!D$2</f>
        <v>0</v>
      </c>
      <c r="E56">
        <f>'D-RP-1'!E$2</f>
        <v>0</v>
      </c>
      <c r="F56">
        <f>'D-RP-1'!F$2</f>
        <v>0</v>
      </c>
      <c r="G56">
        <f>'D-RP-1'!G$2</f>
        <v>0</v>
      </c>
      <c r="H56">
        <f>'D-RP-1'!H$2</f>
        <v>0</v>
      </c>
      <c r="I56">
        <f>'D-RP-1'!I$2</f>
        <v>0</v>
      </c>
      <c r="J56">
        <f>'D-RP-1'!J$2</f>
        <v>0</v>
      </c>
      <c r="K56">
        <f>'D-RP-1'!K$2</f>
        <v>0</v>
      </c>
      <c r="L56" t="str">
        <f>'D-RP-1'!L$2</f>
        <v>No Sales</v>
      </c>
      <c r="M56">
        <f>'D-RP-1'!M$2</f>
        <v>0</v>
      </c>
      <c r="N56" t="str">
        <f>'D-RP-1'!N$2</f>
        <v>Insufficient Data</v>
      </c>
      <c r="O56" t="str">
        <f>'D-RP-1'!O$2</f>
        <v>Insufficient Data</v>
      </c>
      <c r="P56" t="str">
        <f>'D-RP-1'!P$2</f>
        <v>Uncalculated</v>
      </c>
      <c r="Q56">
        <f t="shared" si="2"/>
        <v>0</v>
      </c>
      <c r="R56">
        <f t="shared" si="3"/>
        <v>0</v>
      </c>
      <c r="S56" s="591" t="s">
        <v>94</v>
      </c>
      <c r="T56" s="591" t="s">
        <v>1826</v>
      </c>
      <c r="U56" s="591">
        <v>2014</v>
      </c>
      <c r="V56" s="588" t="str">
        <f>IF(ISBLANK(Q7_TotalSales_US_2014), "Blank", Q7_TotalSales_US_2014)</f>
        <v>Blank</v>
      </c>
      <c r="W56"/>
    </row>
    <row r="57" spans="1:34">
      <c r="A57">
        <f>'D-RP-1'!A$2</f>
        <v>0</v>
      </c>
      <c r="B57">
        <f>'D-RP-1'!B$2</f>
        <v>0</v>
      </c>
      <c r="C57">
        <f>'D-RP-1'!C$2</f>
        <v>0</v>
      </c>
      <c r="D57">
        <f>'D-RP-1'!D$2</f>
        <v>0</v>
      </c>
      <c r="E57">
        <f>'D-RP-1'!E$2</f>
        <v>0</v>
      </c>
      <c r="F57">
        <f>'D-RP-1'!F$2</f>
        <v>0</v>
      </c>
      <c r="G57">
        <f>'D-RP-1'!G$2</f>
        <v>0</v>
      </c>
      <c r="H57">
        <f>'D-RP-1'!H$2</f>
        <v>0</v>
      </c>
      <c r="I57">
        <f>'D-RP-1'!I$2</f>
        <v>0</v>
      </c>
      <c r="J57">
        <f>'D-RP-1'!J$2</f>
        <v>0</v>
      </c>
      <c r="K57">
        <f>'D-RP-1'!K$2</f>
        <v>0</v>
      </c>
      <c r="L57" t="str">
        <f>'D-RP-1'!L$2</f>
        <v>No Sales</v>
      </c>
      <c r="M57">
        <f>'D-RP-1'!M$2</f>
        <v>0</v>
      </c>
      <c r="N57" t="str">
        <f>'D-RP-1'!N$2</f>
        <v>Insufficient Data</v>
      </c>
      <c r="O57" t="str">
        <f>'D-RP-1'!O$2</f>
        <v>Insufficient Data</v>
      </c>
      <c r="P57" t="str">
        <f>'D-RP-1'!P$2</f>
        <v>Uncalculated</v>
      </c>
      <c r="Q57">
        <f t="shared" si="2"/>
        <v>0</v>
      </c>
      <c r="R57">
        <f t="shared" si="3"/>
        <v>0</v>
      </c>
      <c r="S57" s="591" t="s">
        <v>94</v>
      </c>
      <c r="T57" s="591" t="s">
        <v>1827</v>
      </c>
      <c r="U57" s="591">
        <v>2014</v>
      </c>
      <c r="V57" s="597" t="str">
        <f>IF(V56="Blank", "NA", IF(W57="Blank", "NA", V56*W57))</f>
        <v>NA</v>
      </c>
      <c r="W57" t="str">
        <f>IF(ISBLANK(Q7_TotalGovPct_US_2014), "Blank", Q7_TotalGovPct_US_2014)</f>
        <v>Blank</v>
      </c>
    </row>
    <row r="58" spans="1:34">
      <c r="A58">
        <f>'D-RP-1'!A$2</f>
        <v>0</v>
      </c>
      <c r="B58">
        <f>'D-RP-1'!B$2</f>
        <v>0</v>
      </c>
      <c r="C58">
        <f>'D-RP-1'!C$2</f>
        <v>0</v>
      </c>
      <c r="D58">
        <f>'D-RP-1'!D$2</f>
        <v>0</v>
      </c>
      <c r="E58">
        <f>'D-RP-1'!E$2</f>
        <v>0</v>
      </c>
      <c r="F58">
        <f>'D-RP-1'!F$2</f>
        <v>0</v>
      </c>
      <c r="G58">
        <f>'D-RP-1'!G$2</f>
        <v>0</v>
      </c>
      <c r="H58">
        <f>'D-RP-1'!H$2</f>
        <v>0</v>
      </c>
      <c r="I58">
        <f>'D-RP-1'!I$2</f>
        <v>0</v>
      </c>
      <c r="J58">
        <f>'D-RP-1'!J$2</f>
        <v>0</v>
      </c>
      <c r="K58">
        <f>'D-RP-1'!K$2</f>
        <v>0</v>
      </c>
      <c r="L58" t="str">
        <f>'D-RP-1'!L$2</f>
        <v>No Sales</v>
      </c>
      <c r="M58">
        <f>'D-RP-1'!M$2</f>
        <v>0</v>
      </c>
      <c r="N58" t="str">
        <f>'D-RP-1'!N$2</f>
        <v>Insufficient Data</v>
      </c>
      <c r="O58" t="str">
        <f>'D-RP-1'!O$2</f>
        <v>Insufficient Data</v>
      </c>
      <c r="P58" t="str">
        <f>'D-RP-1'!P$2</f>
        <v>Uncalculated</v>
      </c>
      <c r="Q58">
        <f t="shared" si="2"/>
        <v>0</v>
      </c>
      <c r="R58">
        <f t="shared" si="3"/>
        <v>0</v>
      </c>
      <c r="S58" s="591" t="s">
        <v>94</v>
      </c>
      <c r="T58" s="591" t="s">
        <v>1828</v>
      </c>
      <c r="U58" s="591">
        <v>2014</v>
      </c>
      <c r="V58" s="597" t="str">
        <f>IF(V56="Blank", "NA", IF(W58="Blank", "NA", V56*W58))</f>
        <v>NA</v>
      </c>
      <c r="W58" s="597" t="str">
        <f>IF(W57="Blank", "Blank", 1-W57)</f>
        <v>Blank</v>
      </c>
    </row>
    <row r="59" spans="1:34">
      <c r="A59">
        <f>'D-RP-1'!A$2</f>
        <v>0</v>
      </c>
      <c r="B59">
        <f>'D-RP-1'!B$2</f>
        <v>0</v>
      </c>
      <c r="C59">
        <f>'D-RP-1'!C$2</f>
        <v>0</v>
      </c>
      <c r="D59">
        <f>'D-RP-1'!D$2</f>
        <v>0</v>
      </c>
      <c r="E59">
        <f>'D-RP-1'!E$2</f>
        <v>0</v>
      </c>
      <c r="F59">
        <f>'D-RP-1'!F$2</f>
        <v>0</v>
      </c>
      <c r="G59">
        <f>'D-RP-1'!G$2</f>
        <v>0</v>
      </c>
      <c r="H59">
        <f>'D-RP-1'!H$2</f>
        <v>0</v>
      </c>
      <c r="I59">
        <f>'D-RP-1'!I$2</f>
        <v>0</v>
      </c>
      <c r="J59">
        <f>'D-RP-1'!J$2</f>
        <v>0</v>
      </c>
      <c r="K59">
        <f>'D-RP-1'!K$2</f>
        <v>0</v>
      </c>
      <c r="L59" t="str">
        <f>'D-RP-1'!L$2</f>
        <v>No Sales</v>
      </c>
      <c r="M59">
        <f>'D-RP-1'!M$2</f>
        <v>0</v>
      </c>
      <c r="N59" t="str">
        <f>'D-RP-1'!N$2</f>
        <v>Insufficient Data</v>
      </c>
      <c r="O59" t="str">
        <f>'D-RP-1'!O$2</f>
        <v>Insufficient Data</v>
      </c>
      <c r="P59" t="str">
        <f>'D-RP-1'!P$2</f>
        <v>Uncalculated</v>
      </c>
      <c r="Q59">
        <f t="shared" si="2"/>
        <v>0</v>
      </c>
      <c r="R59">
        <f t="shared" si="3"/>
        <v>0</v>
      </c>
      <c r="S59" s="591" t="s">
        <v>94</v>
      </c>
      <c r="T59" s="591" t="s">
        <v>1829</v>
      </c>
      <c r="U59" s="591">
        <v>2014</v>
      </c>
      <c r="V59" t="str">
        <f>IF(ISBLANK(Q7_TotalBoard_US_2014), "Blank", Q7_TotalBoard_US_2014)</f>
        <v>Blank</v>
      </c>
    </row>
    <row r="60" spans="1:34">
      <c r="A60">
        <f>'D-RP-1'!A$2</f>
        <v>0</v>
      </c>
      <c r="B60">
        <f>'D-RP-1'!B$2</f>
        <v>0</v>
      </c>
      <c r="C60">
        <f>'D-RP-1'!C$2</f>
        <v>0</v>
      </c>
      <c r="D60">
        <f>'D-RP-1'!D$2</f>
        <v>0</v>
      </c>
      <c r="E60">
        <f>'D-RP-1'!E$2</f>
        <v>0</v>
      </c>
      <c r="F60">
        <f>'D-RP-1'!F$2</f>
        <v>0</v>
      </c>
      <c r="G60">
        <f>'D-RP-1'!G$2</f>
        <v>0</v>
      </c>
      <c r="H60">
        <f>'D-RP-1'!H$2</f>
        <v>0</v>
      </c>
      <c r="I60">
        <f>'D-RP-1'!I$2</f>
        <v>0</v>
      </c>
      <c r="J60">
        <f>'D-RP-1'!J$2</f>
        <v>0</v>
      </c>
      <c r="K60">
        <f>'D-RP-1'!K$2</f>
        <v>0</v>
      </c>
      <c r="L60" t="str">
        <f>'D-RP-1'!L$2</f>
        <v>No Sales</v>
      </c>
      <c r="M60">
        <f>'D-RP-1'!M$2</f>
        <v>0</v>
      </c>
      <c r="N60" t="str">
        <f>'D-RP-1'!N$2</f>
        <v>Insufficient Data</v>
      </c>
      <c r="O60" t="str">
        <f>'D-RP-1'!O$2</f>
        <v>Insufficient Data</v>
      </c>
      <c r="P60" t="str">
        <f>'D-RP-1'!P$2</f>
        <v>Uncalculated</v>
      </c>
      <c r="Q60">
        <f t="shared" si="2"/>
        <v>0</v>
      </c>
      <c r="R60">
        <f t="shared" si="3"/>
        <v>0</v>
      </c>
      <c r="S60" s="591" t="s">
        <v>94</v>
      </c>
      <c r="T60" s="591" t="s">
        <v>1830</v>
      </c>
      <c r="U60" s="591">
        <v>2014</v>
      </c>
      <c r="V60" s="597" t="str">
        <f>IF(V59="Blank", "NA", IF(W60="Blank", "NA", V59*W60))</f>
        <v>NA</v>
      </c>
      <c r="W60" t="str">
        <f>IF(ISBLANK(Q7_TotalBoardGovPct_US_2014), "Blank", Q7_TotalBoardGovPct_US_2014)</f>
        <v>Blank</v>
      </c>
      <c r="AH60" s="588"/>
    </row>
    <row r="61" spans="1:34">
      <c r="A61">
        <f>'D-RP-1'!A$2</f>
        <v>0</v>
      </c>
      <c r="B61">
        <f>'D-RP-1'!B$2</f>
        <v>0</v>
      </c>
      <c r="C61">
        <f>'D-RP-1'!C$2</f>
        <v>0</v>
      </c>
      <c r="D61">
        <f>'D-RP-1'!D$2</f>
        <v>0</v>
      </c>
      <c r="E61">
        <f>'D-RP-1'!E$2</f>
        <v>0</v>
      </c>
      <c r="F61">
        <f>'D-RP-1'!F$2</f>
        <v>0</v>
      </c>
      <c r="G61">
        <f>'D-RP-1'!G$2</f>
        <v>0</v>
      </c>
      <c r="H61">
        <f>'D-RP-1'!H$2</f>
        <v>0</v>
      </c>
      <c r="I61">
        <f>'D-RP-1'!I$2</f>
        <v>0</v>
      </c>
      <c r="J61">
        <f>'D-RP-1'!J$2</f>
        <v>0</v>
      </c>
      <c r="K61">
        <f>'D-RP-1'!K$2</f>
        <v>0</v>
      </c>
      <c r="L61" t="str">
        <f>'D-RP-1'!L$2</f>
        <v>No Sales</v>
      </c>
      <c r="M61">
        <f>'D-RP-1'!M$2</f>
        <v>0</v>
      </c>
      <c r="N61" t="str">
        <f>'D-RP-1'!N$2</f>
        <v>Insufficient Data</v>
      </c>
      <c r="O61" t="str">
        <f>'D-RP-1'!O$2</f>
        <v>Insufficient Data</v>
      </c>
      <c r="P61" t="str">
        <f>'D-RP-1'!P$2</f>
        <v>Uncalculated</v>
      </c>
      <c r="Q61">
        <f t="shared" si="2"/>
        <v>0</v>
      </c>
      <c r="R61">
        <f t="shared" si="3"/>
        <v>0</v>
      </c>
      <c r="S61" s="591" t="s">
        <v>94</v>
      </c>
      <c r="T61" s="591" t="s">
        <v>1831</v>
      </c>
      <c r="U61" s="591">
        <v>2014</v>
      </c>
      <c r="V61" s="597" t="str">
        <f>IF(V59="Blank", "NA", IF(W61="Blank", "NA", V59*W61))</f>
        <v>NA</v>
      </c>
      <c r="W61" s="597" t="str">
        <f>IF(W60="Blank", "Blank", 1-W60)</f>
        <v>Blank</v>
      </c>
    </row>
    <row r="62" spans="1:34">
      <c r="A62">
        <f>'D-RP-1'!A$2</f>
        <v>0</v>
      </c>
      <c r="B62">
        <f>'D-RP-1'!B$2</f>
        <v>0</v>
      </c>
      <c r="C62">
        <f>'D-RP-1'!C$2</f>
        <v>0</v>
      </c>
      <c r="D62">
        <f>'D-RP-1'!D$2</f>
        <v>0</v>
      </c>
      <c r="E62">
        <f>'D-RP-1'!E$2</f>
        <v>0</v>
      </c>
      <c r="F62">
        <f>'D-RP-1'!F$2</f>
        <v>0</v>
      </c>
      <c r="G62">
        <f>'D-RP-1'!G$2</f>
        <v>0</v>
      </c>
      <c r="H62">
        <f>'D-RP-1'!H$2</f>
        <v>0</v>
      </c>
      <c r="I62">
        <f>'D-RP-1'!I$2</f>
        <v>0</v>
      </c>
      <c r="J62">
        <f>'D-RP-1'!J$2</f>
        <v>0</v>
      </c>
      <c r="K62">
        <f>'D-RP-1'!K$2</f>
        <v>0</v>
      </c>
      <c r="L62" t="str">
        <f>'D-RP-1'!L$2</f>
        <v>No Sales</v>
      </c>
      <c r="M62">
        <f>'D-RP-1'!M$2</f>
        <v>0</v>
      </c>
      <c r="N62" t="str">
        <f>'D-RP-1'!N$2</f>
        <v>Insufficient Data</v>
      </c>
      <c r="O62" t="str">
        <f>'D-RP-1'!O$2</f>
        <v>Insufficient Data</v>
      </c>
      <c r="P62" t="str">
        <f>'D-RP-1'!P$2</f>
        <v>Uncalculated</v>
      </c>
      <c r="Q62">
        <f t="shared" si="2"/>
        <v>0</v>
      </c>
      <c r="R62">
        <f t="shared" si="3"/>
        <v>0</v>
      </c>
      <c r="S62" s="591" t="s">
        <v>94</v>
      </c>
      <c r="T62" s="591" t="s">
        <v>1832</v>
      </c>
      <c r="U62" s="591">
        <v>2014</v>
      </c>
      <c r="V62" t="str">
        <f>IF(ISBLANK(Q7_TotalBare_US_2014), "Blank", Q7_TotalBare_US_2014)</f>
        <v>Blank</v>
      </c>
    </row>
    <row r="63" spans="1:34">
      <c r="A63">
        <f>'D-RP-1'!A$2</f>
        <v>0</v>
      </c>
      <c r="B63">
        <f>'D-RP-1'!B$2</f>
        <v>0</v>
      </c>
      <c r="C63">
        <f>'D-RP-1'!C$2</f>
        <v>0</v>
      </c>
      <c r="D63">
        <f>'D-RP-1'!D$2</f>
        <v>0</v>
      </c>
      <c r="E63">
        <f>'D-RP-1'!E$2</f>
        <v>0</v>
      </c>
      <c r="F63">
        <f>'D-RP-1'!F$2</f>
        <v>0</v>
      </c>
      <c r="G63">
        <f>'D-RP-1'!G$2</f>
        <v>0</v>
      </c>
      <c r="H63">
        <f>'D-RP-1'!H$2</f>
        <v>0</v>
      </c>
      <c r="I63">
        <f>'D-RP-1'!I$2</f>
        <v>0</v>
      </c>
      <c r="J63">
        <f>'D-RP-1'!J$2</f>
        <v>0</v>
      </c>
      <c r="K63">
        <f>'D-RP-1'!K$2</f>
        <v>0</v>
      </c>
      <c r="L63" t="str">
        <f>'D-RP-1'!L$2</f>
        <v>No Sales</v>
      </c>
      <c r="M63">
        <f>'D-RP-1'!M$2</f>
        <v>0</v>
      </c>
      <c r="N63" t="str">
        <f>'D-RP-1'!N$2</f>
        <v>Insufficient Data</v>
      </c>
      <c r="O63" t="str">
        <f>'D-RP-1'!O$2</f>
        <v>Insufficient Data</v>
      </c>
      <c r="P63" t="str">
        <f>'D-RP-1'!P$2</f>
        <v>Uncalculated</v>
      </c>
      <c r="Q63">
        <f t="shared" si="2"/>
        <v>0</v>
      </c>
      <c r="R63">
        <f t="shared" si="3"/>
        <v>0</v>
      </c>
      <c r="S63" s="591" t="s">
        <v>94</v>
      </c>
      <c r="T63" s="591" t="s">
        <v>1833</v>
      </c>
      <c r="U63" s="591">
        <v>2014</v>
      </c>
      <c r="V63" s="597" t="str">
        <f>IF(V62="Blank", "NA", IF(W63="Blank", "NA", V62*W63))</f>
        <v>NA</v>
      </c>
      <c r="W63" t="str">
        <f>IF(ISBLANK(Q7_TotalBareGovPct_US_2014), "Blank", Q7_TotalBareGovPct_US_2014)</f>
        <v>Blank</v>
      </c>
    </row>
    <row r="64" spans="1:34">
      <c r="A64">
        <f>'D-RP-1'!A$2</f>
        <v>0</v>
      </c>
      <c r="B64">
        <f>'D-RP-1'!B$2</f>
        <v>0</v>
      </c>
      <c r="C64">
        <f>'D-RP-1'!C$2</f>
        <v>0</v>
      </c>
      <c r="D64">
        <f>'D-RP-1'!D$2</f>
        <v>0</v>
      </c>
      <c r="E64">
        <f>'D-RP-1'!E$2</f>
        <v>0</v>
      </c>
      <c r="F64">
        <f>'D-RP-1'!F$2</f>
        <v>0</v>
      </c>
      <c r="G64">
        <f>'D-RP-1'!G$2</f>
        <v>0</v>
      </c>
      <c r="H64">
        <f>'D-RP-1'!H$2</f>
        <v>0</v>
      </c>
      <c r="I64">
        <f>'D-RP-1'!I$2</f>
        <v>0</v>
      </c>
      <c r="J64">
        <f>'D-RP-1'!J$2</f>
        <v>0</v>
      </c>
      <c r="K64">
        <f>'D-RP-1'!K$2</f>
        <v>0</v>
      </c>
      <c r="L64" t="str">
        <f>'D-RP-1'!L$2</f>
        <v>No Sales</v>
      </c>
      <c r="M64">
        <f>'D-RP-1'!M$2</f>
        <v>0</v>
      </c>
      <c r="N64" t="str">
        <f>'D-RP-1'!N$2</f>
        <v>Insufficient Data</v>
      </c>
      <c r="O64" t="str">
        <f>'D-RP-1'!O$2</f>
        <v>Insufficient Data</v>
      </c>
      <c r="P64" t="str">
        <f>'D-RP-1'!P$2</f>
        <v>Uncalculated</v>
      </c>
      <c r="Q64">
        <f t="shared" si="2"/>
        <v>0</v>
      </c>
      <c r="R64">
        <f t="shared" si="3"/>
        <v>0</v>
      </c>
      <c r="S64" s="591" t="s">
        <v>94</v>
      </c>
      <c r="T64" s="591" t="s">
        <v>1834</v>
      </c>
      <c r="U64" s="591">
        <v>2014</v>
      </c>
      <c r="V64" s="597" t="str">
        <f>IF(V62="Blank", "NA", IF(W64="Blank", "NA", V62*W64))</f>
        <v>NA</v>
      </c>
      <c r="W64" s="597" t="str">
        <f>IF(W63="Blank", "Blank", 1-W63)</f>
        <v>Blank</v>
      </c>
    </row>
    <row r="65" spans="1:23">
      <c r="A65">
        <f>'D-RP-1'!A$2</f>
        <v>0</v>
      </c>
      <c r="B65">
        <f>'D-RP-1'!B$2</f>
        <v>0</v>
      </c>
      <c r="C65">
        <f>'D-RP-1'!C$2</f>
        <v>0</v>
      </c>
      <c r="D65">
        <f>'D-RP-1'!D$2</f>
        <v>0</v>
      </c>
      <c r="E65">
        <f>'D-RP-1'!E$2</f>
        <v>0</v>
      </c>
      <c r="F65">
        <f>'D-RP-1'!F$2</f>
        <v>0</v>
      </c>
      <c r="G65">
        <f>'D-RP-1'!G$2</f>
        <v>0</v>
      </c>
      <c r="H65">
        <f>'D-RP-1'!H$2</f>
        <v>0</v>
      </c>
      <c r="I65">
        <f>'D-RP-1'!I$2</f>
        <v>0</v>
      </c>
      <c r="J65">
        <f>'D-RP-1'!J$2</f>
        <v>0</v>
      </c>
      <c r="K65">
        <f>'D-RP-1'!K$2</f>
        <v>0</v>
      </c>
      <c r="L65" t="str">
        <f>'D-RP-1'!L$2</f>
        <v>No Sales</v>
      </c>
      <c r="M65">
        <f>'D-RP-1'!M$2</f>
        <v>0</v>
      </c>
      <c r="N65" t="str">
        <f>'D-RP-1'!N$2</f>
        <v>Insufficient Data</v>
      </c>
      <c r="O65" t="str">
        <f>'D-RP-1'!O$2</f>
        <v>Insufficient Data</v>
      </c>
      <c r="P65" t="str">
        <f>'D-RP-1'!P$2</f>
        <v>Uncalculated</v>
      </c>
      <c r="Q65">
        <f t="shared" si="2"/>
        <v>0</v>
      </c>
      <c r="R65">
        <f t="shared" si="3"/>
        <v>0</v>
      </c>
      <c r="S65" s="591" t="s">
        <v>95</v>
      </c>
      <c r="T65" s="591" t="s">
        <v>1826</v>
      </c>
      <c r="U65" s="591">
        <v>2014</v>
      </c>
      <c r="V65" s="588" t="str">
        <f>IF(ISBLANK(Q7_TotalSales_NonUS_2014), "Blank", Q7_TotalSales_NonUS_2014)</f>
        <v>Blank</v>
      </c>
      <c r="W65"/>
    </row>
    <row r="66" spans="1:23">
      <c r="A66">
        <f>'D-RP-1'!A$2</f>
        <v>0</v>
      </c>
      <c r="B66">
        <f>'D-RP-1'!B$2</f>
        <v>0</v>
      </c>
      <c r="C66">
        <f>'D-RP-1'!C$2</f>
        <v>0</v>
      </c>
      <c r="D66">
        <f>'D-RP-1'!D$2</f>
        <v>0</v>
      </c>
      <c r="E66">
        <f>'D-RP-1'!E$2</f>
        <v>0</v>
      </c>
      <c r="F66">
        <f>'D-RP-1'!F$2</f>
        <v>0</v>
      </c>
      <c r="G66">
        <f>'D-RP-1'!G$2</f>
        <v>0</v>
      </c>
      <c r="H66">
        <f>'D-RP-1'!H$2</f>
        <v>0</v>
      </c>
      <c r="I66">
        <f>'D-RP-1'!I$2</f>
        <v>0</v>
      </c>
      <c r="J66">
        <f>'D-RP-1'!J$2</f>
        <v>0</v>
      </c>
      <c r="K66">
        <f>'D-RP-1'!K$2</f>
        <v>0</v>
      </c>
      <c r="L66" t="str">
        <f>'D-RP-1'!L$2</f>
        <v>No Sales</v>
      </c>
      <c r="M66">
        <f>'D-RP-1'!M$2</f>
        <v>0</v>
      </c>
      <c r="N66" t="str">
        <f>'D-RP-1'!N$2</f>
        <v>Insufficient Data</v>
      </c>
      <c r="O66" t="str">
        <f>'D-RP-1'!O$2</f>
        <v>Insufficient Data</v>
      </c>
      <c r="P66" t="str">
        <f>'D-RP-1'!P$2</f>
        <v>Uncalculated</v>
      </c>
      <c r="Q66">
        <f t="shared" ref="Q66:Q97" si="4">Q7_Schedule</f>
        <v>0</v>
      </c>
      <c r="R66">
        <f t="shared" ref="R66:R97" si="5">Q7_Source</f>
        <v>0</v>
      </c>
      <c r="S66" s="591" t="s">
        <v>95</v>
      </c>
      <c r="T66" s="591" t="s">
        <v>1827</v>
      </c>
      <c r="U66" s="591">
        <v>2014</v>
      </c>
      <c r="V66" s="597" t="str">
        <f>IF(V65="Blank", "NA", IF(W66="Blank", "NA", V65*W66))</f>
        <v>NA</v>
      </c>
      <c r="W66" t="str">
        <f>IF(ISBLANK(Q7_TotalGovPct_NonUS_2014), "Blank", Q7_TotalGovPct_NonUS_2014)</f>
        <v>Blank</v>
      </c>
    </row>
    <row r="67" spans="1:23">
      <c r="A67">
        <f>'D-RP-1'!A$2</f>
        <v>0</v>
      </c>
      <c r="B67">
        <f>'D-RP-1'!B$2</f>
        <v>0</v>
      </c>
      <c r="C67">
        <f>'D-RP-1'!C$2</f>
        <v>0</v>
      </c>
      <c r="D67">
        <f>'D-RP-1'!D$2</f>
        <v>0</v>
      </c>
      <c r="E67">
        <f>'D-RP-1'!E$2</f>
        <v>0</v>
      </c>
      <c r="F67">
        <f>'D-RP-1'!F$2</f>
        <v>0</v>
      </c>
      <c r="G67">
        <f>'D-RP-1'!G$2</f>
        <v>0</v>
      </c>
      <c r="H67">
        <f>'D-RP-1'!H$2</f>
        <v>0</v>
      </c>
      <c r="I67">
        <f>'D-RP-1'!I$2</f>
        <v>0</v>
      </c>
      <c r="J67">
        <f>'D-RP-1'!J$2</f>
        <v>0</v>
      </c>
      <c r="K67">
        <f>'D-RP-1'!K$2</f>
        <v>0</v>
      </c>
      <c r="L67" t="str">
        <f>'D-RP-1'!L$2</f>
        <v>No Sales</v>
      </c>
      <c r="M67">
        <f>'D-RP-1'!M$2</f>
        <v>0</v>
      </c>
      <c r="N67" t="str">
        <f>'D-RP-1'!N$2</f>
        <v>Insufficient Data</v>
      </c>
      <c r="O67" t="str">
        <f>'D-RP-1'!O$2</f>
        <v>Insufficient Data</v>
      </c>
      <c r="P67" t="str">
        <f>'D-RP-1'!P$2</f>
        <v>Uncalculated</v>
      </c>
      <c r="Q67">
        <f t="shared" si="4"/>
        <v>0</v>
      </c>
      <c r="R67">
        <f t="shared" si="5"/>
        <v>0</v>
      </c>
      <c r="S67" s="591" t="s">
        <v>95</v>
      </c>
      <c r="T67" s="591" t="s">
        <v>1828</v>
      </c>
      <c r="U67" s="591">
        <v>2014</v>
      </c>
      <c r="V67" s="597" t="str">
        <f>IF(V65="Blank", "NA", IF(W67="Blank", "NA", V65*W67))</f>
        <v>NA</v>
      </c>
      <c r="W67" s="597" t="str">
        <f>IF(W66="Blank", "Blank", 1-W66)</f>
        <v>Blank</v>
      </c>
    </row>
    <row r="68" spans="1:23">
      <c r="A68">
        <f>'D-RP-1'!A$2</f>
        <v>0</v>
      </c>
      <c r="B68">
        <f>'D-RP-1'!B$2</f>
        <v>0</v>
      </c>
      <c r="C68">
        <f>'D-RP-1'!C$2</f>
        <v>0</v>
      </c>
      <c r="D68">
        <f>'D-RP-1'!D$2</f>
        <v>0</v>
      </c>
      <c r="E68">
        <f>'D-RP-1'!E$2</f>
        <v>0</v>
      </c>
      <c r="F68">
        <f>'D-RP-1'!F$2</f>
        <v>0</v>
      </c>
      <c r="G68">
        <f>'D-RP-1'!G$2</f>
        <v>0</v>
      </c>
      <c r="H68">
        <f>'D-RP-1'!H$2</f>
        <v>0</v>
      </c>
      <c r="I68">
        <f>'D-RP-1'!I$2</f>
        <v>0</v>
      </c>
      <c r="J68">
        <f>'D-RP-1'!J$2</f>
        <v>0</v>
      </c>
      <c r="K68">
        <f>'D-RP-1'!K$2</f>
        <v>0</v>
      </c>
      <c r="L68" t="str">
        <f>'D-RP-1'!L$2</f>
        <v>No Sales</v>
      </c>
      <c r="M68">
        <f>'D-RP-1'!M$2</f>
        <v>0</v>
      </c>
      <c r="N68" t="str">
        <f>'D-RP-1'!N$2</f>
        <v>Insufficient Data</v>
      </c>
      <c r="O68" t="str">
        <f>'D-RP-1'!O$2</f>
        <v>Insufficient Data</v>
      </c>
      <c r="P68" t="str">
        <f>'D-RP-1'!P$2</f>
        <v>Uncalculated</v>
      </c>
      <c r="Q68">
        <f t="shared" si="4"/>
        <v>0</v>
      </c>
      <c r="R68">
        <f t="shared" si="5"/>
        <v>0</v>
      </c>
      <c r="S68" s="591" t="s">
        <v>95</v>
      </c>
      <c r="T68" s="591" t="s">
        <v>1829</v>
      </c>
      <c r="U68" s="591">
        <v>2014</v>
      </c>
      <c r="V68" t="str">
        <f>IF(ISBLANK(Q7_TotalBoard_NonUS_2014), "Blank", Q7_TotalBoard_NonUS_2014)</f>
        <v>Blank</v>
      </c>
    </row>
    <row r="69" spans="1:23">
      <c r="A69">
        <f>'D-RP-1'!A$2</f>
        <v>0</v>
      </c>
      <c r="B69">
        <f>'D-RP-1'!B$2</f>
        <v>0</v>
      </c>
      <c r="C69">
        <f>'D-RP-1'!C$2</f>
        <v>0</v>
      </c>
      <c r="D69">
        <f>'D-RP-1'!D$2</f>
        <v>0</v>
      </c>
      <c r="E69">
        <f>'D-RP-1'!E$2</f>
        <v>0</v>
      </c>
      <c r="F69">
        <f>'D-RP-1'!F$2</f>
        <v>0</v>
      </c>
      <c r="G69">
        <f>'D-RP-1'!G$2</f>
        <v>0</v>
      </c>
      <c r="H69">
        <f>'D-RP-1'!H$2</f>
        <v>0</v>
      </c>
      <c r="I69">
        <f>'D-RP-1'!I$2</f>
        <v>0</v>
      </c>
      <c r="J69">
        <f>'D-RP-1'!J$2</f>
        <v>0</v>
      </c>
      <c r="K69">
        <f>'D-RP-1'!K$2</f>
        <v>0</v>
      </c>
      <c r="L69" t="str">
        <f>'D-RP-1'!L$2</f>
        <v>No Sales</v>
      </c>
      <c r="M69">
        <f>'D-RP-1'!M$2</f>
        <v>0</v>
      </c>
      <c r="N69" t="str">
        <f>'D-RP-1'!N$2</f>
        <v>Insufficient Data</v>
      </c>
      <c r="O69" t="str">
        <f>'D-RP-1'!O$2</f>
        <v>Insufficient Data</v>
      </c>
      <c r="P69" t="str">
        <f>'D-RP-1'!P$2</f>
        <v>Uncalculated</v>
      </c>
      <c r="Q69">
        <f t="shared" si="4"/>
        <v>0</v>
      </c>
      <c r="R69">
        <f t="shared" si="5"/>
        <v>0</v>
      </c>
      <c r="S69" s="591" t="s">
        <v>95</v>
      </c>
      <c r="T69" s="591" t="s">
        <v>1830</v>
      </c>
      <c r="U69" s="591">
        <v>2014</v>
      </c>
      <c r="V69" s="597" t="str">
        <f>IF(V68="Blank", "NA", IF(W69="Blank", "NA", V68*W69))</f>
        <v>NA</v>
      </c>
      <c r="W69" t="str">
        <f>IF(ISBLANK(Q7_TotalBoardGovPct_NonUS_2014), "Blank", Q7_TotalBoardGovPct_NonUS_2014)</f>
        <v>Blank</v>
      </c>
    </row>
    <row r="70" spans="1:23">
      <c r="A70">
        <f>'D-RP-1'!A$2</f>
        <v>0</v>
      </c>
      <c r="B70">
        <f>'D-RP-1'!B$2</f>
        <v>0</v>
      </c>
      <c r="C70">
        <f>'D-RP-1'!C$2</f>
        <v>0</v>
      </c>
      <c r="D70">
        <f>'D-RP-1'!D$2</f>
        <v>0</v>
      </c>
      <c r="E70">
        <f>'D-RP-1'!E$2</f>
        <v>0</v>
      </c>
      <c r="F70">
        <f>'D-RP-1'!F$2</f>
        <v>0</v>
      </c>
      <c r="G70">
        <f>'D-RP-1'!G$2</f>
        <v>0</v>
      </c>
      <c r="H70">
        <f>'D-RP-1'!H$2</f>
        <v>0</v>
      </c>
      <c r="I70">
        <f>'D-RP-1'!I$2</f>
        <v>0</v>
      </c>
      <c r="J70">
        <f>'D-RP-1'!J$2</f>
        <v>0</v>
      </c>
      <c r="K70">
        <f>'D-RP-1'!K$2</f>
        <v>0</v>
      </c>
      <c r="L70" t="str">
        <f>'D-RP-1'!L$2</f>
        <v>No Sales</v>
      </c>
      <c r="M70">
        <f>'D-RP-1'!M$2</f>
        <v>0</v>
      </c>
      <c r="N70" t="str">
        <f>'D-RP-1'!N$2</f>
        <v>Insufficient Data</v>
      </c>
      <c r="O70" t="str">
        <f>'D-RP-1'!O$2</f>
        <v>Insufficient Data</v>
      </c>
      <c r="P70" t="str">
        <f>'D-RP-1'!P$2</f>
        <v>Uncalculated</v>
      </c>
      <c r="Q70">
        <f t="shared" si="4"/>
        <v>0</v>
      </c>
      <c r="R70">
        <f t="shared" si="5"/>
        <v>0</v>
      </c>
      <c r="S70" s="591" t="s">
        <v>95</v>
      </c>
      <c r="T70" s="591" t="s">
        <v>1831</v>
      </c>
      <c r="U70" s="591">
        <v>2014</v>
      </c>
      <c r="V70" s="597" t="str">
        <f>IF(V68="Blank", "NA", IF(W70="Blank", "NA", V68*W70))</f>
        <v>NA</v>
      </c>
      <c r="W70" s="597" t="str">
        <f>IF(W69="Blank", "Blank", 1-W69)</f>
        <v>Blank</v>
      </c>
    </row>
    <row r="71" spans="1:23">
      <c r="A71">
        <f>'D-RP-1'!A$2</f>
        <v>0</v>
      </c>
      <c r="B71">
        <f>'D-RP-1'!B$2</f>
        <v>0</v>
      </c>
      <c r="C71">
        <f>'D-RP-1'!C$2</f>
        <v>0</v>
      </c>
      <c r="D71">
        <f>'D-RP-1'!D$2</f>
        <v>0</v>
      </c>
      <c r="E71">
        <f>'D-RP-1'!E$2</f>
        <v>0</v>
      </c>
      <c r="F71">
        <f>'D-RP-1'!F$2</f>
        <v>0</v>
      </c>
      <c r="G71">
        <f>'D-RP-1'!G$2</f>
        <v>0</v>
      </c>
      <c r="H71">
        <f>'D-RP-1'!H$2</f>
        <v>0</v>
      </c>
      <c r="I71">
        <f>'D-RP-1'!I$2</f>
        <v>0</v>
      </c>
      <c r="J71">
        <f>'D-RP-1'!J$2</f>
        <v>0</v>
      </c>
      <c r="K71">
        <f>'D-RP-1'!K$2</f>
        <v>0</v>
      </c>
      <c r="L71" t="str">
        <f>'D-RP-1'!L$2</f>
        <v>No Sales</v>
      </c>
      <c r="M71">
        <f>'D-RP-1'!M$2</f>
        <v>0</v>
      </c>
      <c r="N71" t="str">
        <f>'D-RP-1'!N$2</f>
        <v>Insufficient Data</v>
      </c>
      <c r="O71" t="str">
        <f>'D-RP-1'!O$2</f>
        <v>Insufficient Data</v>
      </c>
      <c r="P71" t="str">
        <f>'D-RP-1'!P$2</f>
        <v>Uncalculated</v>
      </c>
      <c r="Q71">
        <f t="shared" si="4"/>
        <v>0</v>
      </c>
      <c r="R71">
        <f t="shared" si="5"/>
        <v>0</v>
      </c>
      <c r="S71" s="591" t="s">
        <v>95</v>
      </c>
      <c r="T71" s="591" t="s">
        <v>1832</v>
      </c>
      <c r="U71" s="591">
        <v>2014</v>
      </c>
      <c r="V71" t="str">
        <f>IF(ISBLANK(Q7_TotalBare_NonUS_2014), "Blank", Q7_TotalBare_NonUS_2014)</f>
        <v>Blank</v>
      </c>
    </row>
    <row r="72" spans="1:23">
      <c r="A72">
        <f>'D-RP-1'!A$2</f>
        <v>0</v>
      </c>
      <c r="B72">
        <f>'D-RP-1'!B$2</f>
        <v>0</v>
      </c>
      <c r="C72">
        <f>'D-RP-1'!C$2</f>
        <v>0</v>
      </c>
      <c r="D72">
        <f>'D-RP-1'!D$2</f>
        <v>0</v>
      </c>
      <c r="E72">
        <f>'D-RP-1'!E$2</f>
        <v>0</v>
      </c>
      <c r="F72">
        <f>'D-RP-1'!F$2</f>
        <v>0</v>
      </c>
      <c r="G72">
        <f>'D-RP-1'!G$2</f>
        <v>0</v>
      </c>
      <c r="H72">
        <f>'D-RP-1'!H$2</f>
        <v>0</v>
      </c>
      <c r="I72">
        <f>'D-RP-1'!I$2</f>
        <v>0</v>
      </c>
      <c r="J72">
        <f>'D-RP-1'!J$2</f>
        <v>0</v>
      </c>
      <c r="K72">
        <f>'D-RP-1'!K$2</f>
        <v>0</v>
      </c>
      <c r="L72" t="str">
        <f>'D-RP-1'!L$2</f>
        <v>No Sales</v>
      </c>
      <c r="M72">
        <f>'D-RP-1'!M$2</f>
        <v>0</v>
      </c>
      <c r="N72" t="str">
        <f>'D-RP-1'!N$2</f>
        <v>Insufficient Data</v>
      </c>
      <c r="O72" t="str">
        <f>'D-RP-1'!O$2</f>
        <v>Insufficient Data</v>
      </c>
      <c r="P72" t="str">
        <f>'D-RP-1'!P$2</f>
        <v>Uncalculated</v>
      </c>
      <c r="Q72">
        <f t="shared" si="4"/>
        <v>0</v>
      </c>
      <c r="R72">
        <f t="shared" si="5"/>
        <v>0</v>
      </c>
      <c r="S72" s="591" t="s">
        <v>95</v>
      </c>
      <c r="T72" s="591" t="s">
        <v>1833</v>
      </c>
      <c r="U72" s="591">
        <v>2014</v>
      </c>
      <c r="V72" s="597" t="str">
        <f>IF(V71="Blank", "NA", IF(W72="Blank", "NA", V71*W72))</f>
        <v>NA</v>
      </c>
      <c r="W72" t="str">
        <f>IF(ISBLANK(Q7_TotalBareGovPct_NonUS_2014), "Blank", Q7_TotalBareGovPct_NonUS_2014)</f>
        <v>Blank</v>
      </c>
    </row>
    <row r="73" spans="1:23">
      <c r="A73">
        <f>'D-RP-1'!A$2</f>
        <v>0</v>
      </c>
      <c r="B73">
        <f>'D-RP-1'!B$2</f>
        <v>0</v>
      </c>
      <c r="C73">
        <f>'D-RP-1'!C$2</f>
        <v>0</v>
      </c>
      <c r="D73">
        <f>'D-RP-1'!D$2</f>
        <v>0</v>
      </c>
      <c r="E73">
        <f>'D-RP-1'!E$2</f>
        <v>0</v>
      </c>
      <c r="F73">
        <f>'D-RP-1'!F$2</f>
        <v>0</v>
      </c>
      <c r="G73">
        <f>'D-RP-1'!G$2</f>
        <v>0</v>
      </c>
      <c r="H73">
        <f>'D-RP-1'!H$2</f>
        <v>0</v>
      </c>
      <c r="I73">
        <f>'D-RP-1'!I$2</f>
        <v>0</v>
      </c>
      <c r="J73">
        <f>'D-RP-1'!J$2</f>
        <v>0</v>
      </c>
      <c r="K73">
        <f>'D-RP-1'!K$2</f>
        <v>0</v>
      </c>
      <c r="L73" t="str">
        <f>'D-RP-1'!L$2</f>
        <v>No Sales</v>
      </c>
      <c r="M73">
        <f>'D-RP-1'!M$2</f>
        <v>0</v>
      </c>
      <c r="N73" t="str">
        <f>'D-RP-1'!N$2</f>
        <v>Insufficient Data</v>
      </c>
      <c r="O73" t="str">
        <f>'D-RP-1'!O$2</f>
        <v>Insufficient Data</v>
      </c>
      <c r="P73" t="str">
        <f>'D-RP-1'!P$2</f>
        <v>Uncalculated</v>
      </c>
      <c r="Q73">
        <f t="shared" si="4"/>
        <v>0</v>
      </c>
      <c r="R73">
        <f t="shared" si="5"/>
        <v>0</v>
      </c>
      <c r="S73" s="591" t="s">
        <v>95</v>
      </c>
      <c r="T73" s="591" t="s">
        <v>1834</v>
      </c>
      <c r="U73" s="591">
        <v>2014</v>
      </c>
      <c r="V73" s="597" t="str">
        <f>IF(V71="Blank", "NA", IF(W73="Blank", "NA", V71*W73))</f>
        <v>NA</v>
      </c>
      <c r="W73" s="597" t="str">
        <f>IF(W72="Blank", "Blank", 1-W72)</f>
        <v>Blank</v>
      </c>
    </row>
    <row r="74" spans="1:23">
      <c r="A74">
        <f>'D-RP-1'!A$2</f>
        <v>0</v>
      </c>
      <c r="B74">
        <f>'D-RP-1'!B$2</f>
        <v>0</v>
      </c>
      <c r="C74">
        <f>'D-RP-1'!C$2</f>
        <v>0</v>
      </c>
      <c r="D74">
        <f>'D-RP-1'!D$2</f>
        <v>0</v>
      </c>
      <c r="E74">
        <f>'D-RP-1'!E$2</f>
        <v>0</v>
      </c>
      <c r="F74">
        <f>'D-RP-1'!F$2</f>
        <v>0</v>
      </c>
      <c r="G74">
        <f>'D-RP-1'!G$2</f>
        <v>0</v>
      </c>
      <c r="H74">
        <f>'D-RP-1'!H$2</f>
        <v>0</v>
      </c>
      <c r="I74">
        <f>'D-RP-1'!I$2</f>
        <v>0</v>
      </c>
      <c r="J74">
        <f>'D-RP-1'!J$2</f>
        <v>0</v>
      </c>
      <c r="K74">
        <f>'D-RP-1'!K$2</f>
        <v>0</v>
      </c>
      <c r="L74" t="str">
        <f>'D-RP-1'!L$2</f>
        <v>No Sales</v>
      </c>
      <c r="M74">
        <f>'D-RP-1'!M$2</f>
        <v>0</v>
      </c>
      <c r="N74" t="str">
        <f>'D-RP-1'!N$2</f>
        <v>Insufficient Data</v>
      </c>
      <c r="O74" t="str">
        <f>'D-RP-1'!O$2</f>
        <v>Insufficient Data</v>
      </c>
      <c r="P74" t="str">
        <f>'D-RP-1'!P$2</f>
        <v>Uncalculated</v>
      </c>
      <c r="Q74">
        <f t="shared" si="4"/>
        <v>0</v>
      </c>
      <c r="R74">
        <f t="shared" si="5"/>
        <v>0</v>
      </c>
      <c r="S74" s="591" t="s">
        <v>1835</v>
      </c>
      <c r="T74" s="591" t="s">
        <v>1826</v>
      </c>
      <c r="U74" s="591">
        <v>2014</v>
      </c>
      <c r="V74" s="597" t="str">
        <f>IF(V56="Blank", IF(V65="Blank", "Blank", V65), IF(V65="Blank", V56, V56+V65))</f>
        <v>Blank</v>
      </c>
      <c r="W74" s="597"/>
    </row>
    <row r="75" spans="1:23">
      <c r="A75">
        <f>'D-RP-1'!A$2</f>
        <v>0</v>
      </c>
      <c r="B75">
        <f>'D-RP-1'!B$2</f>
        <v>0</v>
      </c>
      <c r="C75">
        <f>'D-RP-1'!C$2</f>
        <v>0</v>
      </c>
      <c r="D75">
        <f>'D-RP-1'!D$2</f>
        <v>0</v>
      </c>
      <c r="E75">
        <f>'D-RP-1'!E$2</f>
        <v>0</v>
      </c>
      <c r="F75">
        <f>'D-RP-1'!F$2</f>
        <v>0</v>
      </c>
      <c r="G75">
        <f>'D-RP-1'!G$2</f>
        <v>0</v>
      </c>
      <c r="H75">
        <f>'D-RP-1'!H$2</f>
        <v>0</v>
      </c>
      <c r="I75">
        <f>'D-RP-1'!I$2</f>
        <v>0</v>
      </c>
      <c r="J75">
        <f>'D-RP-1'!J$2</f>
        <v>0</v>
      </c>
      <c r="K75">
        <f>'D-RP-1'!K$2</f>
        <v>0</v>
      </c>
      <c r="L75" t="str">
        <f>'D-RP-1'!L$2</f>
        <v>No Sales</v>
      </c>
      <c r="M75">
        <f>'D-RP-1'!M$2</f>
        <v>0</v>
      </c>
      <c r="N75" t="str">
        <f>'D-RP-1'!N$2</f>
        <v>Insufficient Data</v>
      </c>
      <c r="O75" t="str">
        <f>'D-RP-1'!O$2</f>
        <v>Insufficient Data</v>
      </c>
      <c r="P75" t="str">
        <f>'D-RP-1'!P$2</f>
        <v>Uncalculated</v>
      </c>
      <c r="Q75">
        <f t="shared" si="4"/>
        <v>0</v>
      </c>
      <c r="R75">
        <f t="shared" si="5"/>
        <v>0</v>
      </c>
      <c r="S75" s="591" t="s">
        <v>1835</v>
      </c>
      <c r="T75" s="591" t="s">
        <v>1827</v>
      </c>
      <c r="U75" s="591">
        <v>2014</v>
      </c>
      <c r="V75" s="597" t="str">
        <f>IF(V57="NA", IF(V66="NA", "NA", V66), IF(V66="NA", V57, V57+V66))</f>
        <v>NA</v>
      </c>
      <c r="W75" s="597" t="str">
        <f>IF(ISERROR(V75/V74), "NA", V75/V74)</f>
        <v>NA</v>
      </c>
    </row>
    <row r="76" spans="1:23">
      <c r="A76">
        <f>'D-RP-1'!A$2</f>
        <v>0</v>
      </c>
      <c r="B76">
        <f>'D-RP-1'!B$2</f>
        <v>0</v>
      </c>
      <c r="C76">
        <f>'D-RP-1'!C$2</f>
        <v>0</v>
      </c>
      <c r="D76">
        <f>'D-RP-1'!D$2</f>
        <v>0</v>
      </c>
      <c r="E76">
        <f>'D-RP-1'!E$2</f>
        <v>0</v>
      </c>
      <c r="F76">
        <f>'D-RP-1'!F$2</f>
        <v>0</v>
      </c>
      <c r="G76">
        <f>'D-RP-1'!G$2</f>
        <v>0</v>
      </c>
      <c r="H76">
        <f>'D-RP-1'!H$2</f>
        <v>0</v>
      </c>
      <c r="I76">
        <f>'D-RP-1'!I$2</f>
        <v>0</v>
      </c>
      <c r="J76">
        <f>'D-RP-1'!J$2</f>
        <v>0</v>
      </c>
      <c r="K76">
        <f>'D-RP-1'!K$2</f>
        <v>0</v>
      </c>
      <c r="L76" t="str">
        <f>'D-RP-1'!L$2</f>
        <v>No Sales</v>
      </c>
      <c r="M76">
        <f>'D-RP-1'!M$2</f>
        <v>0</v>
      </c>
      <c r="N76" t="str">
        <f>'D-RP-1'!N$2</f>
        <v>Insufficient Data</v>
      </c>
      <c r="O76" t="str">
        <f>'D-RP-1'!O$2</f>
        <v>Insufficient Data</v>
      </c>
      <c r="P76" t="str">
        <f>'D-RP-1'!P$2</f>
        <v>Uncalculated</v>
      </c>
      <c r="Q76">
        <f t="shared" si="4"/>
        <v>0</v>
      </c>
      <c r="R76">
        <f t="shared" si="5"/>
        <v>0</v>
      </c>
      <c r="S76" s="591" t="s">
        <v>1835</v>
      </c>
      <c r="T76" s="591" t="s">
        <v>1828</v>
      </c>
      <c r="U76" s="591">
        <v>2014</v>
      </c>
      <c r="V76" s="597" t="str">
        <f>IF(V58="NA", IF(V67="NA", "NA", V67), IF(V67="NA", V58, V58+V67))</f>
        <v>NA</v>
      </c>
      <c r="W76" s="597" t="str">
        <f>IF(ISERROR(V76/V74), "NA", V76/V74)</f>
        <v>NA</v>
      </c>
    </row>
    <row r="77" spans="1:23">
      <c r="A77">
        <f>'D-RP-1'!A$2</f>
        <v>0</v>
      </c>
      <c r="B77">
        <f>'D-RP-1'!B$2</f>
        <v>0</v>
      </c>
      <c r="C77">
        <f>'D-RP-1'!C$2</f>
        <v>0</v>
      </c>
      <c r="D77">
        <f>'D-RP-1'!D$2</f>
        <v>0</v>
      </c>
      <c r="E77">
        <f>'D-RP-1'!E$2</f>
        <v>0</v>
      </c>
      <c r="F77">
        <f>'D-RP-1'!F$2</f>
        <v>0</v>
      </c>
      <c r="G77">
        <f>'D-RP-1'!G$2</f>
        <v>0</v>
      </c>
      <c r="H77">
        <f>'D-RP-1'!H$2</f>
        <v>0</v>
      </c>
      <c r="I77">
        <f>'D-RP-1'!I$2</f>
        <v>0</v>
      </c>
      <c r="J77">
        <f>'D-RP-1'!J$2</f>
        <v>0</v>
      </c>
      <c r="K77">
        <f>'D-RP-1'!K$2</f>
        <v>0</v>
      </c>
      <c r="L77" t="str">
        <f>'D-RP-1'!L$2</f>
        <v>No Sales</v>
      </c>
      <c r="M77">
        <f>'D-RP-1'!M$2</f>
        <v>0</v>
      </c>
      <c r="N77" t="str">
        <f>'D-RP-1'!N$2</f>
        <v>Insufficient Data</v>
      </c>
      <c r="O77" t="str">
        <f>'D-RP-1'!O$2</f>
        <v>Insufficient Data</v>
      </c>
      <c r="P77" t="str">
        <f>'D-RP-1'!P$2</f>
        <v>Uncalculated</v>
      </c>
      <c r="Q77">
        <f t="shared" si="4"/>
        <v>0</v>
      </c>
      <c r="R77">
        <f t="shared" si="5"/>
        <v>0</v>
      </c>
      <c r="S77" s="591" t="s">
        <v>1835</v>
      </c>
      <c r="T77" s="591" t="s">
        <v>1829</v>
      </c>
      <c r="U77" s="591">
        <v>2014</v>
      </c>
      <c r="V77" s="597" t="str">
        <f>IF(V59="Blank", IF(V68="Blank", "Blank", V68), IF(V68="Blank", V59, V59+V68))</f>
        <v>Blank</v>
      </c>
      <c r="W77" s="597"/>
    </row>
    <row r="78" spans="1:23">
      <c r="A78">
        <f>'D-RP-1'!A$2</f>
        <v>0</v>
      </c>
      <c r="B78">
        <f>'D-RP-1'!B$2</f>
        <v>0</v>
      </c>
      <c r="C78">
        <f>'D-RP-1'!C$2</f>
        <v>0</v>
      </c>
      <c r="D78">
        <f>'D-RP-1'!D$2</f>
        <v>0</v>
      </c>
      <c r="E78">
        <f>'D-RP-1'!E$2</f>
        <v>0</v>
      </c>
      <c r="F78">
        <f>'D-RP-1'!F$2</f>
        <v>0</v>
      </c>
      <c r="G78">
        <f>'D-RP-1'!G$2</f>
        <v>0</v>
      </c>
      <c r="H78">
        <f>'D-RP-1'!H$2</f>
        <v>0</v>
      </c>
      <c r="I78">
        <f>'D-RP-1'!I$2</f>
        <v>0</v>
      </c>
      <c r="J78">
        <f>'D-RP-1'!J$2</f>
        <v>0</v>
      </c>
      <c r="K78">
        <f>'D-RP-1'!K$2</f>
        <v>0</v>
      </c>
      <c r="L78" t="str">
        <f>'D-RP-1'!L$2</f>
        <v>No Sales</v>
      </c>
      <c r="M78">
        <f>'D-RP-1'!M$2</f>
        <v>0</v>
      </c>
      <c r="N78" t="str">
        <f>'D-RP-1'!N$2</f>
        <v>Insufficient Data</v>
      </c>
      <c r="O78" t="str">
        <f>'D-RP-1'!O$2</f>
        <v>Insufficient Data</v>
      </c>
      <c r="P78" t="str">
        <f>'D-RP-1'!P$2</f>
        <v>Uncalculated</v>
      </c>
      <c r="Q78">
        <f t="shared" si="4"/>
        <v>0</v>
      </c>
      <c r="R78">
        <f t="shared" si="5"/>
        <v>0</v>
      </c>
      <c r="S78" s="591" t="s">
        <v>1835</v>
      </c>
      <c r="T78" s="591" t="s">
        <v>1830</v>
      </c>
      <c r="U78" s="591">
        <v>2014</v>
      </c>
      <c r="V78" s="597" t="str">
        <f>IF(V60="NA", IF(V69="NA", "NA", V69), IF(V69="NA", V60, V60+V69))</f>
        <v>NA</v>
      </c>
      <c r="W78" s="597" t="str">
        <f>IF(ISERROR(V78/V77), "NA", V78/V77)</f>
        <v>NA</v>
      </c>
    </row>
    <row r="79" spans="1:23">
      <c r="A79">
        <f>'D-RP-1'!A$2</f>
        <v>0</v>
      </c>
      <c r="B79">
        <f>'D-RP-1'!B$2</f>
        <v>0</v>
      </c>
      <c r="C79">
        <f>'D-RP-1'!C$2</f>
        <v>0</v>
      </c>
      <c r="D79">
        <f>'D-RP-1'!D$2</f>
        <v>0</v>
      </c>
      <c r="E79">
        <f>'D-RP-1'!E$2</f>
        <v>0</v>
      </c>
      <c r="F79">
        <f>'D-RP-1'!F$2</f>
        <v>0</v>
      </c>
      <c r="G79">
        <f>'D-RP-1'!G$2</f>
        <v>0</v>
      </c>
      <c r="H79">
        <f>'D-RP-1'!H$2</f>
        <v>0</v>
      </c>
      <c r="I79">
        <f>'D-RP-1'!I$2</f>
        <v>0</v>
      </c>
      <c r="J79">
        <f>'D-RP-1'!J$2</f>
        <v>0</v>
      </c>
      <c r="K79">
        <f>'D-RP-1'!K$2</f>
        <v>0</v>
      </c>
      <c r="L79" t="str">
        <f>'D-RP-1'!L$2</f>
        <v>No Sales</v>
      </c>
      <c r="M79">
        <f>'D-RP-1'!M$2</f>
        <v>0</v>
      </c>
      <c r="N79" t="str">
        <f>'D-RP-1'!N$2</f>
        <v>Insufficient Data</v>
      </c>
      <c r="O79" t="str">
        <f>'D-RP-1'!O$2</f>
        <v>Insufficient Data</v>
      </c>
      <c r="P79" t="str">
        <f>'D-RP-1'!P$2</f>
        <v>Uncalculated</v>
      </c>
      <c r="Q79">
        <f t="shared" si="4"/>
        <v>0</v>
      </c>
      <c r="R79">
        <f t="shared" si="5"/>
        <v>0</v>
      </c>
      <c r="S79" s="591" t="s">
        <v>1835</v>
      </c>
      <c r="T79" s="591" t="s">
        <v>1831</v>
      </c>
      <c r="U79" s="591">
        <v>2014</v>
      </c>
      <c r="V79" s="597" t="str">
        <f>IF(V61="NA", IF(V70="NA", "NA", V70), IF(V70="NA", V61, V61+V70))</f>
        <v>NA</v>
      </c>
      <c r="W79" s="597" t="str">
        <f>IF(ISERROR(V79/V77), "NA", V79/V77)</f>
        <v>NA</v>
      </c>
    </row>
    <row r="80" spans="1:23">
      <c r="A80">
        <f>'D-RP-1'!A$2</f>
        <v>0</v>
      </c>
      <c r="B80">
        <f>'D-RP-1'!B$2</f>
        <v>0</v>
      </c>
      <c r="C80">
        <f>'D-RP-1'!C$2</f>
        <v>0</v>
      </c>
      <c r="D80">
        <f>'D-RP-1'!D$2</f>
        <v>0</v>
      </c>
      <c r="E80">
        <f>'D-RP-1'!E$2</f>
        <v>0</v>
      </c>
      <c r="F80">
        <f>'D-RP-1'!F$2</f>
        <v>0</v>
      </c>
      <c r="G80">
        <f>'D-RP-1'!G$2</f>
        <v>0</v>
      </c>
      <c r="H80">
        <f>'D-RP-1'!H$2</f>
        <v>0</v>
      </c>
      <c r="I80">
        <f>'D-RP-1'!I$2</f>
        <v>0</v>
      </c>
      <c r="J80">
        <f>'D-RP-1'!J$2</f>
        <v>0</v>
      </c>
      <c r="K80">
        <f>'D-RP-1'!K$2</f>
        <v>0</v>
      </c>
      <c r="L80" t="str">
        <f>'D-RP-1'!L$2</f>
        <v>No Sales</v>
      </c>
      <c r="M80">
        <f>'D-RP-1'!M$2</f>
        <v>0</v>
      </c>
      <c r="N80" t="str">
        <f>'D-RP-1'!N$2</f>
        <v>Insufficient Data</v>
      </c>
      <c r="O80" t="str">
        <f>'D-RP-1'!O$2</f>
        <v>Insufficient Data</v>
      </c>
      <c r="P80" t="str">
        <f>'D-RP-1'!P$2</f>
        <v>Uncalculated</v>
      </c>
      <c r="Q80">
        <f t="shared" si="4"/>
        <v>0</v>
      </c>
      <c r="R80">
        <f t="shared" si="5"/>
        <v>0</v>
      </c>
      <c r="S80" s="591" t="s">
        <v>1835</v>
      </c>
      <c r="T80" s="591" t="s">
        <v>1832</v>
      </c>
      <c r="U80" s="591">
        <v>2014</v>
      </c>
      <c r="V80" s="597" t="str">
        <f>IF(V62="Blank", IF(V71="Blank", "Blank", V71), IF(V71="Blank", V62, V62+V71))</f>
        <v>Blank</v>
      </c>
      <c r="W80" s="597"/>
    </row>
    <row r="81" spans="1:23">
      <c r="A81">
        <f>'D-RP-1'!A$2</f>
        <v>0</v>
      </c>
      <c r="B81">
        <f>'D-RP-1'!B$2</f>
        <v>0</v>
      </c>
      <c r="C81">
        <f>'D-RP-1'!C$2</f>
        <v>0</v>
      </c>
      <c r="D81">
        <f>'D-RP-1'!D$2</f>
        <v>0</v>
      </c>
      <c r="E81">
        <f>'D-RP-1'!E$2</f>
        <v>0</v>
      </c>
      <c r="F81">
        <f>'D-RP-1'!F$2</f>
        <v>0</v>
      </c>
      <c r="G81">
        <f>'D-RP-1'!G$2</f>
        <v>0</v>
      </c>
      <c r="H81">
        <f>'D-RP-1'!H$2</f>
        <v>0</v>
      </c>
      <c r="I81">
        <f>'D-RP-1'!I$2</f>
        <v>0</v>
      </c>
      <c r="J81">
        <f>'D-RP-1'!J$2</f>
        <v>0</v>
      </c>
      <c r="K81">
        <f>'D-RP-1'!K$2</f>
        <v>0</v>
      </c>
      <c r="L81" t="str">
        <f>'D-RP-1'!L$2</f>
        <v>No Sales</v>
      </c>
      <c r="M81">
        <f>'D-RP-1'!M$2</f>
        <v>0</v>
      </c>
      <c r="N81" t="str">
        <f>'D-RP-1'!N$2</f>
        <v>Insufficient Data</v>
      </c>
      <c r="O81" t="str">
        <f>'D-RP-1'!O$2</f>
        <v>Insufficient Data</v>
      </c>
      <c r="P81" t="str">
        <f>'D-RP-1'!P$2</f>
        <v>Uncalculated</v>
      </c>
      <c r="Q81">
        <f t="shared" si="4"/>
        <v>0</v>
      </c>
      <c r="R81">
        <f t="shared" si="5"/>
        <v>0</v>
      </c>
      <c r="S81" s="591" t="s">
        <v>1835</v>
      </c>
      <c r="T81" s="591" t="s">
        <v>1833</v>
      </c>
      <c r="U81" s="591">
        <v>2014</v>
      </c>
      <c r="V81" s="597" t="str">
        <f>IF(V63="NA", IF(V72="NA", "NA", V72), IF(V72="NA", V63, V63+V72))</f>
        <v>NA</v>
      </c>
      <c r="W81" s="597" t="str">
        <f>IF(ISERROR(V81/V80), "NA", V81/V80)</f>
        <v>NA</v>
      </c>
    </row>
    <row r="82" spans="1:23">
      <c r="A82">
        <f>'D-RP-1'!A$2</f>
        <v>0</v>
      </c>
      <c r="B82">
        <f>'D-RP-1'!B$2</f>
        <v>0</v>
      </c>
      <c r="C82">
        <f>'D-RP-1'!C$2</f>
        <v>0</v>
      </c>
      <c r="D82">
        <f>'D-RP-1'!D$2</f>
        <v>0</v>
      </c>
      <c r="E82">
        <f>'D-RP-1'!E$2</f>
        <v>0</v>
      </c>
      <c r="F82">
        <f>'D-RP-1'!F$2</f>
        <v>0</v>
      </c>
      <c r="G82">
        <f>'D-RP-1'!G$2</f>
        <v>0</v>
      </c>
      <c r="H82">
        <f>'D-RP-1'!H$2</f>
        <v>0</v>
      </c>
      <c r="I82">
        <f>'D-RP-1'!I$2</f>
        <v>0</v>
      </c>
      <c r="J82">
        <f>'D-RP-1'!J$2</f>
        <v>0</v>
      </c>
      <c r="K82">
        <f>'D-RP-1'!K$2</f>
        <v>0</v>
      </c>
      <c r="L82" t="str">
        <f>'D-RP-1'!L$2</f>
        <v>No Sales</v>
      </c>
      <c r="M82">
        <f>'D-RP-1'!M$2</f>
        <v>0</v>
      </c>
      <c r="N82" t="str">
        <f>'D-RP-1'!N$2</f>
        <v>Insufficient Data</v>
      </c>
      <c r="O82" t="str">
        <f>'D-RP-1'!O$2</f>
        <v>Insufficient Data</v>
      </c>
      <c r="P82" t="str">
        <f>'D-RP-1'!P$2</f>
        <v>Uncalculated</v>
      </c>
      <c r="Q82">
        <f t="shared" si="4"/>
        <v>0</v>
      </c>
      <c r="R82">
        <f t="shared" si="5"/>
        <v>0</v>
      </c>
      <c r="S82" s="591" t="s">
        <v>1835</v>
      </c>
      <c r="T82" s="591" t="s">
        <v>1834</v>
      </c>
      <c r="U82" s="591">
        <v>2014</v>
      </c>
      <c r="V82" s="597" t="str">
        <f>IF(V64="NA", IF(V73="NA", "NA", V73), IF(V73="NA", V64, V64+V73))</f>
        <v>NA</v>
      </c>
      <c r="W82" s="597" t="str">
        <f>IF(ISERROR(V82/V80), "NA", V82/V80)</f>
        <v>NA</v>
      </c>
    </row>
    <row r="83" spans="1:23">
      <c r="A83">
        <f>'D-RP-1'!A$2</f>
        <v>0</v>
      </c>
      <c r="B83">
        <f>'D-RP-1'!B$2</f>
        <v>0</v>
      </c>
      <c r="C83">
        <f>'D-RP-1'!C$2</f>
        <v>0</v>
      </c>
      <c r="D83">
        <f>'D-RP-1'!D$2</f>
        <v>0</v>
      </c>
      <c r="E83">
        <f>'D-RP-1'!E$2</f>
        <v>0</v>
      </c>
      <c r="F83">
        <f>'D-RP-1'!F$2</f>
        <v>0</v>
      </c>
      <c r="G83">
        <f>'D-RP-1'!G$2</f>
        <v>0</v>
      </c>
      <c r="H83">
        <f>'D-RP-1'!H$2</f>
        <v>0</v>
      </c>
      <c r="I83">
        <f>'D-RP-1'!I$2</f>
        <v>0</v>
      </c>
      <c r="J83">
        <f>'D-RP-1'!J$2</f>
        <v>0</v>
      </c>
      <c r="K83">
        <f>'D-RP-1'!K$2</f>
        <v>0</v>
      </c>
      <c r="L83" t="str">
        <f>'D-RP-1'!L$2</f>
        <v>No Sales</v>
      </c>
      <c r="M83">
        <f>'D-RP-1'!M$2</f>
        <v>0</v>
      </c>
      <c r="N83" t="str">
        <f>'D-RP-1'!N$2</f>
        <v>Insufficient Data</v>
      </c>
      <c r="O83" t="str">
        <f>'D-RP-1'!O$2</f>
        <v>Insufficient Data</v>
      </c>
      <c r="P83" t="str">
        <f>'D-RP-1'!P$2</f>
        <v>Uncalculated</v>
      </c>
      <c r="Q83">
        <f t="shared" si="4"/>
        <v>0</v>
      </c>
      <c r="R83">
        <f t="shared" si="5"/>
        <v>0</v>
      </c>
      <c r="S83" s="591" t="s">
        <v>94</v>
      </c>
      <c r="T83" s="591" t="s">
        <v>1826</v>
      </c>
      <c r="U83" s="591">
        <v>2015</v>
      </c>
      <c r="V83" s="588" t="str">
        <f>IF(ISBLANK(Q7_TotalSales_US_2015), "Blank", Q7_TotalSales_US_2015)</f>
        <v>Blank</v>
      </c>
      <c r="W83"/>
    </row>
    <row r="84" spans="1:23">
      <c r="A84">
        <f>'D-RP-1'!A$2</f>
        <v>0</v>
      </c>
      <c r="B84">
        <f>'D-RP-1'!B$2</f>
        <v>0</v>
      </c>
      <c r="C84">
        <f>'D-RP-1'!C$2</f>
        <v>0</v>
      </c>
      <c r="D84">
        <f>'D-RP-1'!D$2</f>
        <v>0</v>
      </c>
      <c r="E84">
        <f>'D-RP-1'!E$2</f>
        <v>0</v>
      </c>
      <c r="F84">
        <f>'D-RP-1'!F$2</f>
        <v>0</v>
      </c>
      <c r="G84">
        <f>'D-RP-1'!G$2</f>
        <v>0</v>
      </c>
      <c r="H84">
        <f>'D-RP-1'!H$2</f>
        <v>0</v>
      </c>
      <c r="I84">
        <f>'D-RP-1'!I$2</f>
        <v>0</v>
      </c>
      <c r="J84">
        <f>'D-RP-1'!J$2</f>
        <v>0</v>
      </c>
      <c r="K84">
        <f>'D-RP-1'!K$2</f>
        <v>0</v>
      </c>
      <c r="L84" t="str">
        <f>'D-RP-1'!L$2</f>
        <v>No Sales</v>
      </c>
      <c r="M84">
        <f>'D-RP-1'!M$2</f>
        <v>0</v>
      </c>
      <c r="N84" t="str">
        <f>'D-RP-1'!N$2</f>
        <v>Insufficient Data</v>
      </c>
      <c r="O84" t="str">
        <f>'D-RP-1'!O$2</f>
        <v>Insufficient Data</v>
      </c>
      <c r="P84" t="str">
        <f>'D-RP-1'!P$2</f>
        <v>Uncalculated</v>
      </c>
      <c r="Q84">
        <f t="shared" si="4"/>
        <v>0</v>
      </c>
      <c r="R84">
        <f t="shared" si="5"/>
        <v>0</v>
      </c>
      <c r="S84" s="591" t="s">
        <v>94</v>
      </c>
      <c r="T84" s="591" t="s">
        <v>1827</v>
      </c>
      <c r="U84" s="591">
        <v>2015</v>
      </c>
      <c r="V84" s="597" t="str">
        <f>IF(V83="Blank", "NA", IF(W84="Blank", "NA", V83*W84))</f>
        <v>NA</v>
      </c>
      <c r="W84" t="str">
        <f>IF(ISBLANK(Q7_TotalGovPct_US_2015), "Blank", Q7_TotalGovPct_US_2015)</f>
        <v>Blank</v>
      </c>
    </row>
    <row r="85" spans="1:23">
      <c r="A85">
        <f>'D-RP-1'!A$2</f>
        <v>0</v>
      </c>
      <c r="B85">
        <f>'D-RP-1'!B$2</f>
        <v>0</v>
      </c>
      <c r="C85">
        <f>'D-RP-1'!C$2</f>
        <v>0</v>
      </c>
      <c r="D85">
        <f>'D-RP-1'!D$2</f>
        <v>0</v>
      </c>
      <c r="E85">
        <f>'D-RP-1'!E$2</f>
        <v>0</v>
      </c>
      <c r="F85">
        <f>'D-RP-1'!F$2</f>
        <v>0</v>
      </c>
      <c r="G85">
        <f>'D-RP-1'!G$2</f>
        <v>0</v>
      </c>
      <c r="H85">
        <f>'D-RP-1'!H$2</f>
        <v>0</v>
      </c>
      <c r="I85">
        <f>'D-RP-1'!I$2</f>
        <v>0</v>
      </c>
      <c r="J85">
        <f>'D-RP-1'!J$2</f>
        <v>0</v>
      </c>
      <c r="K85">
        <f>'D-RP-1'!K$2</f>
        <v>0</v>
      </c>
      <c r="L85" t="str">
        <f>'D-RP-1'!L$2</f>
        <v>No Sales</v>
      </c>
      <c r="M85">
        <f>'D-RP-1'!M$2</f>
        <v>0</v>
      </c>
      <c r="N85" t="str">
        <f>'D-RP-1'!N$2</f>
        <v>Insufficient Data</v>
      </c>
      <c r="O85" t="str">
        <f>'D-RP-1'!O$2</f>
        <v>Insufficient Data</v>
      </c>
      <c r="P85" t="str">
        <f>'D-RP-1'!P$2</f>
        <v>Uncalculated</v>
      </c>
      <c r="Q85">
        <f t="shared" si="4"/>
        <v>0</v>
      </c>
      <c r="R85">
        <f t="shared" si="5"/>
        <v>0</v>
      </c>
      <c r="S85" s="591" t="s">
        <v>94</v>
      </c>
      <c r="T85" s="591" t="s">
        <v>1828</v>
      </c>
      <c r="U85" s="591">
        <v>2015</v>
      </c>
      <c r="V85" s="597" t="str">
        <f>IF(V83="Blank", "NA", IF(W85="Blank", "NA", V83*W85))</f>
        <v>NA</v>
      </c>
      <c r="W85" s="597" t="str">
        <f>IF(W84="Blank", "Blank", 1-W84)</f>
        <v>Blank</v>
      </c>
    </row>
    <row r="86" spans="1:23">
      <c r="A86">
        <f>'D-RP-1'!A$2</f>
        <v>0</v>
      </c>
      <c r="B86">
        <f>'D-RP-1'!B$2</f>
        <v>0</v>
      </c>
      <c r="C86">
        <f>'D-RP-1'!C$2</f>
        <v>0</v>
      </c>
      <c r="D86">
        <f>'D-RP-1'!D$2</f>
        <v>0</v>
      </c>
      <c r="E86">
        <f>'D-RP-1'!E$2</f>
        <v>0</v>
      </c>
      <c r="F86">
        <f>'D-RP-1'!F$2</f>
        <v>0</v>
      </c>
      <c r="G86">
        <f>'D-RP-1'!G$2</f>
        <v>0</v>
      </c>
      <c r="H86">
        <f>'D-RP-1'!H$2</f>
        <v>0</v>
      </c>
      <c r="I86">
        <f>'D-RP-1'!I$2</f>
        <v>0</v>
      </c>
      <c r="J86">
        <f>'D-RP-1'!J$2</f>
        <v>0</v>
      </c>
      <c r="K86">
        <f>'D-RP-1'!K$2</f>
        <v>0</v>
      </c>
      <c r="L86" t="str">
        <f>'D-RP-1'!L$2</f>
        <v>No Sales</v>
      </c>
      <c r="M86">
        <f>'D-RP-1'!M$2</f>
        <v>0</v>
      </c>
      <c r="N86" t="str">
        <f>'D-RP-1'!N$2</f>
        <v>Insufficient Data</v>
      </c>
      <c r="O86" t="str">
        <f>'D-RP-1'!O$2</f>
        <v>Insufficient Data</v>
      </c>
      <c r="P86" t="str">
        <f>'D-RP-1'!P$2</f>
        <v>Uncalculated</v>
      </c>
      <c r="Q86">
        <f t="shared" si="4"/>
        <v>0</v>
      </c>
      <c r="R86">
        <f t="shared" si="5"/>
        <v>0</v>
      </c>
      <c r="S86" s="591" t="s">
        <v>94</v>
      </c>
      <c r="T86" s="591" t="s">
        <v>1829</v>
      </c>
      <c r="U86" s="591">
        <v>2015</v>
      </c>
      <c r="V86" t="str">
        <f>IF(ISBLANK(Q7_TotalBoard_US_2015), "Blank", Q7_TotalBoard_US_2015)</f>
        <v>Blank</v>
      </c>
    </row>
    <row r="87" spans="1:23">
      <c r="A87">
        <f>'D-RP-1'!A$2</f>
        <v>0</v>
      </c>
      <c r="B87">
        <f>'D-RP-1'!B$2</f>
        <v>0</v>
      </c>
      <c r="C87">
        <f>'D-RP-1'!C$2</f>
        <v>0</v>
      </c>
      <c r="D87">
        <f>'D-RP-1'!D$2</f>
        <v>0</v>
      </c>
      <c r="E87">
        <f>'D-RP-1'!E$2</f>
        <v>0</v>
      </c>
      <c r="F87">
        <f>'D-RP-1'!F$2</f>
        <v>0</v>
      </c>
      <c r="G87">
        <f>'D-RP-1'!G$2</f>
        <v>0</v>
      </c>
      <c r="H87">
        <f>'D-RP-1'!H$2</f>
        <v>0</v>
      </c>
      <c r="I87">
        <f>'D-RP-1'!I$2</f>
        <v>0</v>
      </c>
      <c r="J87">
        <f>'D-RP-1'!J$2</f>
        <v>0</v>
      </c>
      <c r="K87">
        <f>'D-RP-1'!K$2</f>
        <v>0</v>
      </c>
      <c r="L87" t="str">
        <f>'D-RP-1'!L$2</f>
        <v>No Sales</v>
      </c>
      <c r="M87">
        <f>'D-RP-1'!M$2</f>
        <v>0</v>
      </c>
      <c r="N87" t="str">
        <f>'D-RP-1'!N$2</f>
        <v>Insufficient Data</v>
      </c>
      <c r="O87" t="str">
        <f>'D-RP-1'!O$2</f>
        <v>Insufficient Data</v>
      </c>
      <c r="P87" t="str">
        <f>'D-RP-1'!P$2</f>
        <v>Uncalculated</v>
      </c>
      <c r="Q87">
        <f t="shared" si="4"/>
        <v>0</v>
      </c>
      <c r="R87">
        <f t="shared" si="5"/>
        <v>0</v>
      </c>
      <c r="S87" s="591" t="s">
        <v>94</v>
      </c>
      <c r="T87" s="591" t="s">
        <v>1830</v>
      </c>
      <c r="U87" s="591">
        <v>2015</v>
      </c>
      <c r="V87" s="597" t="str">
        <f>IF(V86="Blank", "NA", IF(W87="Blank", "NA", V86*W87))</f>
        <v>NA</v>
      </c>
      <c r="W87" t="str">
        <f>IF(ISBLANK(Q7_TotalBoardGovPct_US_2015), "Blank", Q7_TotalBoardGovPct_US_2015)</f>
        <v>Blank</v>
      </c>
    </row>
    <row r="88" spans="1:23">
      <c r="A88">
        <f>'D-RP-1'!A$2</f>
        <v>0</v>
      </c>
      <c r="B88">
        <f>'D-RP-1'!B$2</f>
        <v>0</v>
      </c>
      <c r="C88">
        <f>'D-RP-1'!C$2</f>
        <v>0</v>
      </c>
      <c r="D88">
        <f>'D-RP-1'!D$2</f>
        <v>0</v>
      </c>
      <c r="E88">
        <f>'D-RP-1'!E$2</f>
        <v>0</v>
      </c>
      <c r="F88">
        <f>'D-RP-1'!F$2</f>
        <v>0</v>
      </c>
      <c r="G88">
        <f>'D-RP-1'!G$2</f>
        <v>0</v>
      </c>
      <c r="H88">
        <f>'D-RP-1'!H$2</f>
        <v>0</v>
      </c>
      <c r="I88">
        <f>'D-RP-1'!I$2</f>
        <v>0</v>
      </c>
      <c r="J88">
        <f>'D-RP-1'!J$2</f>
        <v>0</v>
      </c>
      <c r="K88">
        <f>'D-RP-1'!K$2</f>
        <v>0</v>
      </c>
      <c r="L88" t="str">
        <f>'D-RP-1'!L$2</f>
        <v>No Sales</v>
      </c>
      <c r="M88">
        <f>'D-RP-1'!M$2</f>
        <v>0</v>
      </c>
      <c r="N88" t="str">
        <f>'D-RP-1'!N$2</f>
        <v>Insufficient Data</v>
      </c>
      <c r="O88" t="str">
        <f>'D-RP-1'!O$2</f>
        <v>Insufficient Data</v>
      </c>
      <c r="P88" t="str">
        <f>'D-RP-1'!P$2</f>
        <v>Uncalculated</v>
      </c>
      <c r="Q88">
        <f t="shared" si="4"/>
        <v>0</v>
      </c>
      <c r="R88">
        <f t="shared" si="5"/>
        <v>0</v>
      </c>
      <c r="S88" s="591" t="s">
        <v>94</v>
      </c>
      <c r="T88" s="591" t="s">
        <v>1831</v>
      </c>
      <c r="U88" s="591">
        <v>2015</v>
      </c>
      <c r="V88" s="597" t="str">
        <f>IF(V86="Blank", "NA", IF(W88="Blank", "NA", V86*W88))</f>
        <v>NA</v>
      </c>
      <c r="W88" s="597" t="str">
        <f>IF(W87="Blank", "Blank", 1-W87)</f>
        <v>Blank</v>
      </c>
    </row>
    <row r="89" spans="1:23">
      <c r="A89">
        <f>'D-RP-1'!A$2</f>
        <v>0</v>
      </c>
      <c r="B89">
        <f>'D-RP-1'!B$2</f>
        <v>0</v>
      </c>
      <c r="C89">
        <f>'D-RP-1'!C$2</f>
        <v>0</v>
      </c>
      <c r="D89">
        <f>'D-RP-1'!D$2</f>
        <v>0</v>
      </c>
      <c r="E89">
        <f>'D-RP-1'!E$2</f>
        <v>0</v>
      </c>
      <c r="F89">
        <f>'D-RP-1'!F$2</f>
        <v>0</v>
      </c>
      <c r="G89">
        <f>'D-RP-1'!G$2</f>
        <v>0</v>
      </c>
      <c r="H89">
        <f>'D-RP-1'!H$2</f>
        <v>0</v>
      </c>
      <c r="I89">
        <f>'D-RP-1'!I$2</f>
        <v>0</v>
      </c>
      <c r="J89">
        <f>'D-RP-1'!J$2</f>
        <v>0</v>
      </c>
      <c r="K89">
        <f>'D-RP-1'!K$2</f>
        <v>0</v>
      </c>
      <c r="L89" t="str">
        <f>'D-RP-1'!L$2</f>
        <v>No Sales</v>
      </c>
      <c r="M89">
        <f>'D-RP-1'!M$2</f>
        <v>0</v>
      </c>
      <c r="N89" t="str">
        <f>'D-RP-1'!N$2</f>
        <v>Insufficient Data</v>
      </c>
      <c r="O89" t="str">
        <f>'D-RP-1'!O$2</f>
        <v>Insufficient Data</v>
      </c>
      <c r="P89" t="str">
        <f>'D-RP-1'!P$2</f>
        <v>Uncalculated</v>
      </c>
      <c r="Q89">
        <f t="shared" si="4"/>
        <v>0</v>
      </c>
      <c r="R89">
        <f t="shared" si="5"/>
        <v>0</v>
      </c>
      <c r="S89" s="591" t="s">
        <v>94</v>
      </c>
      <c r="T89" s="591" t="s">
        <v>1832</v>
      </c>
      <c r="U89" s="591">
        <v>2015</v>
      </c>
      <c r="V89" t="str">
        <f>IF(ISBLANK(Q7_TotalBare_US_2015), "Blank", Q7_TotalBare_US_2015)</f>
        <v>Blank</v>
      </c>
    </row>
    <row r="90" spans="1:23">
      <c r="A90">
        <f>'D-RP-1'!A$2</f>
        <v>0</v>
      </c>
      <c r="B90">
        <f>'D-RP-1'!B$2</f>
        <v>0</v>
      </c>
      <c r="C90">
        <f>'D-RP-1'!C$2</f>
        <v>0</v>
      </c>
      <c r="D90">
        <f>'D-RP-1'!D$2</f>
        <v>0</v>
      </c>
      <c r="E90">
        <f>'D-RP-1'!E$2</f>
        <v>0</v>
      </c>
      <c r="F90">
        <f>'D-RP-1'!F$2</f>
        <v>0</v>
      </c>
      <c r="G90">
        <f>'D-RP-1'!G$2</f>
        <v>0</v>
      </c>
      <c r="H90">
        <f>'D-RP-1'!H$2</f>
        <v>0</v>
      </c>
      <c r="I90">
        <f>'D-RP-1'!I$2</f>
        <v>0</v>
      </c>
      <c r="J90">
        <f>'D-RP-1'!J$2</f>
        <v>0</v>
      </c>
      <c r="K90">
        <f>'D-RP-1'!K$2</f>
        <v>0</v>
      </c>
      <c r="L90" t="str">
        <f>'D-RP-1'!L$2</f>
        <v>No Sales</v>
      </c>
      <c r="M90">
        <f>'D-RP-1'!M$2</f>
        <v>0</v>
      </c>
      <c r="N90" t="str">
        <f>'D-RP-1'!N$2</f>
        <v>Insufficient Data</v>
      </c>
      <c r="O90" t="str">
        <f>'D-RP-1'!O$2</f>
        <v>Insufficient Data</v>
      </c>
      <c r="P90" t="str">
        <f>'D-RP-1'!P$2</f>
        <v>Uncalculated</v>
      </c>
      <c r="Q90">
        <f t="shared" si="4"/>
        <v>0</v>
      </c>
      <c r="R90">
        <f t="shared" si="5"/>
        <v>0</v>
      </c>
      <c r="S90" s="591" t="s">
        <v>94</v>
      </c>
      <c r="T90" s="591" t="s">
        <v>1833</v>
      </c>
      <c r="U90" s="591">
        <v>2015</v>
      </c>
      <c r="V90" s="597" t="str">
        <f>IF(V89="Blank", "NA", IF(W90="Blank", "NA", V89*W90))</f>
        <v>NA</v>
      </c>
      <c r="W90" t="str">
        <f>IF(ISBLANK(Q7_TotalBareGovPct_US_2015), "Blank", Q7_TotalBareGovPct_US_2015)</f>
        <v>Blank</v>
      </c>
    </row>
    <row r="91" spans="1:23">
      <c r="A91">
        <f>'D-RP-1'!A$2</f>
        <v>0</v>
      </c>
      <c r="B91">
        <f>'D-RP-1'!B$2</f>
        <v>0</v>
      </c>
      <c r="C91">
        <f>'D-RP-1'!C$2</f>
        <v>0</v>
      </c>
      <c r="D91">
        <f>'D-RP-1'!D$2</f>
        <v>0</v>
      </c>
      <c r="E91">
        <f>'D-RP-1'!E$2</f>
        <v>0</v>
      </c>
      <c r="F91">
        <f>'D-RP-1'!F$2</f>
        <v>0</v>
      </c>
      <c r="G91">
        <f>'D-RP-1'!G$2</f>
        <v>0</v>
      </c>
      <c r="H91">
        <f>'D-RP-1'!H$2</f>
        <v>0</v>
      </c>
      <c r="I91">
        <f>'D-RP-1'!I$2</f>
        <v>0</v>
      </c>
      <c r="J91">
        <f>'D-RP-1'!J$2</f>
        <v>0</v>
      </c>
      <c r="K91">
        <f>'D-RP-1'!K$2</f>
        <v>0</v>
      </c>
      <c r="L91" t="str">
        <f>'D-RP-1'!L$2</f>
        <v>No Sales</v>
      </c>
      <c r="M91">
        <f>'D-RP-1'!M$2</f>
        <v>0</v>
      </c>
      <c r="N91" t="str">
        <f>'D-RP-1'!N$2</f>
        <v>Insufficient Data</v>
      </c>
      <c r="O91" t="str">
        <f>'D-RP-1'!O$2</f>
        <v>Insufficient Data</v>
      </c>
      <c r="P91" t="str">
        <f>'D-RP-1'!P$2</f>
        <v>Uncalculated</v>
      </c>
      <c r="Q91">
        <f t="shared" si="4"/>
        <v>0</v>
      </c>
      <c r="R91">
        <f t="shared" si="5"/>
        <v>0</v>
      </c>
      <c r="S91" s="591" t="s">
        <v>94</v>
      </c>
      <c r="T91" s="591" t="s">
        <v>1834</v>
      </c>
      <c r="U91" s="591">
        <v>2015</v>
      </c>
      <c r="V91" s="597" t="str">
        <f>IF(V89="Blank", "NA", IF(W91="Blank", "NA", V89*W91))</f>
        <v>NA</v>
      </c>
      <c r="W91" s="597" t="str">
        <f>IF(W90="Blank", "Blank", 1-W90)</f>
        <v>Blank</v>
      </c>
    </row>
    <row r="92" spans="1:23">
      <c r="A92">
        <f>'D-RP-1'!A$2</f>
        <v>0</v>
      </c>
      <c r="B92">
        <f>'D-RP-1'!B$2</f>
        <v>0</v>
      </c>
      <c r="C92">
        <f>'D-RP-1'!C$2</f>
        <v>0</v>
      </c>
      <c r="D92">
        <f>'D-RP-1'!D$2</f>
        <v>0</v>
      </c>
      <c r="E92">
        <f>'D-RP-1'!E$2</f>
        <v>0</v>
      </c>
      <c r="F92">
        <f>'D-RP-1'!F$2</f>
        <v>0</v>
      </c>
      <c r="G92">
        <f>'D-RP-1'!G$2</f>
        <v>0</v>
      </c>
      <c r="H92">
        <f>'D-RP-1'!H$2</f>
        <v>0</v>
      </c>
      <c r="I92">
        <f>'D-RP-1'!I$2</f>
        <v>0</v>
      </c>
      <c r="J92">
        <f>'D-RP-1'!J$2</f>
        <v>0</v>
      </c>
      <c r="K92">
        <f>'D-RP-1'!K$2</f>
        <v>0</v>
      </c>
      <c r="L92" t="str">
        <f>'D-RP-1'!L$2</f>
        <v>No Sales</v>
      </c>
      <c r="M92">
        <f>'D-RP-1'!M$2</f>
        <v>0</v>
      </c>
      <c r="N92" t="str">
        <f>'D-RP-1'!N$2</f>
        <v>Insufficient Data</v>
      </c>
      <c r="O92" t="str">
        <f>'D-RP-1'!O$2</f>
        <v>Insufficient Data</v>
      </c>
      <c r="P92" t="str">
        <f>'D-RP-1'!P$2</f>
        <v>Uncalculated</v>
      </c>
      <c r="Q92">
        <f t="shared" si="4"/>
        <v>0</v>
      </c>
      <c r="R92">
        <f t="shared" si="5"/>
        <v>0</v>
      </c>
      <c r="S92" s="591" t="s">
        <v>95</v>
      </c>
      <c r="T92" s="591" t="s">
        <v>1826</v>
      </c>
      <c r="U92" s="591">
        <v>2015</v>
      </c>
      <c r="V92" s="588" t="str">
        <f>IF(ISBLANK(Q7_TotalSales_NonUS_2015), "Blank", Q7_TotalSales_NonUS_2015)</f>
        <v>Blank</v>
      </c>
      <c r="W92"/>
    </row>
    <row r="93" spans="1:23">
      <c r="A93">
        <f>'D-RP-1'!A$2</f>
        <v>0</v>
      </c>
      <c r="B93">
        <f>'D-RP-1'!B$2</f>
        <v>0</v>
      </c>
      <c r="C93">
        <f>'D-RP-1'!C$2</f>
        <v>0</v>
      </c>
      <c r="D93">
        <f>'D-RP-1'!D$2</f>
        <v>0</v>
      </c>
      <c r="E93">
        <f>'D-RP-1'!E$2</f>
        <v>0</v>
      </c>
      <c r="F93">
        <f>'D-RP-1'!F$2</f>
        <v>0</v>
      </c>
      <c r="G93">
        <f>'D-RP-1'!G$2</f>
        <v>0</v>
      </c>
      <c r="H93">
        <f>'D-RP-1'!H$2</f>
        <v>0</v>
      </c>
      <c r="I93">
        <f>'D-RP-1'!I$2</f>
        <v>0</v>
      </c>
      <c r="J93">
        <f>'D-RP-1'!J$2</f>
        <v>0</v>
      </c>
      <c r="K93">
        <f>'D-RP-1'!K$2</f>
        <v>0</v>
      </c>
      <c r="L93" t="str">
        <f>'D-RP-1'!L$2</f>
        <v>No Sales</v>
      </c>
      <c r="M93">
        <f>'D-RP-1'!M$2</f>
        <v>0</v>
      </c>
      <c r="N93" t="str">
        <f>'D-RP-1'!N$2</f>
        <v>Insufficient Data</v>
      </c>
      <c r="O93" t="str">
        <f>'D-RP-1'!O$2</f>
        <v>Insufficient Data</v>
      </c>
      <c r="P93" t="str">
        <f>'D-RP-1'!P$2</f>
        <v>Uncalculated</v>
      </c>
      <c r="Q93">
        <f t="shared" si="4"/>
        <v>0</v>
      </c>
      <c r="R93">
        <f t="shared" si="5"/>
        <v>0</v>
      </c>
      <c r="S93" s="591" t="s">
        <v>95</v>
      </c>
      <c r="T93" s="591" t="s">
        <v>1827</v>
      </c>
      <c r="U93" s="591">
        <v>2015</v>
      </c>
      <c r="V93" s="597" t="str">
        <f>IF(V92="Blank", "NA", IF(W93="Blank", "NA", V92*W93))</f>
        <v>NA</v>
      </c>
      <c r="W93" t="str">
        <f>IF(ISBLANK(Q7_TotalGovPct_NonUS_2015), "Blank", Q7_TotalGovPct_NonUS_2015)</f>
        <v>Blank</v>
      </c>
    </row>
    <row r="94" spans="1:23">
      <c r="A94">
        <f>'D-RP-1'!A$2</f>
        <v>0</v>
      </c>
      <c r="B94">
        <f>'D-RP-1'!B$2</f>
        <v>0</v>
      </c>
      <c r="C94">
        <f>'D-RP-1'!C$2</f>
        <v>0</v>
      </c>
      <c r="D94">
        <f>'D-RP-1'!D$2</f>
        <v>0</v>
      </c>
      <c r="E94">
        <f>'D-RP-1'!E$2</f>
        <v>0</v>
      </c>
      <c r="F94">
        <f>'D-RP-1'!F$2</f>
        <v>0</v>
      </c>
      <c r="G94">
        <f>'D-RP-1'!G$2</f>
        <v>0</v>
      </c>
      <c r="H94">
        <f>'D-RP-1'!H$2</f>
        <v>0</v>
      </c>
      <c r="I94">
        <f>'D-RP-1'!I$2</f>
        <v>0</v>
      </c>
      <c r="J94">
        <f>'D-RP-1'!J$2</f>
        <v>0</v>
      </c>
      <c r="K94">
        <f>'D-RP-1'!K$2</f>
        <v>0</v>
      </c>
      <c r="L94" t="str">
        <f>'D-RP-1'!L$2</f>
        <v>No Sales</v>
      </c>
      <c r="M94">
        <f>'D-RP-1'!M$2</f>
        <v>0</v>
      </c>
      <c r="N94" t="str">
        <f>'D-RP-1'!N$2</f>
        <v>Insufficient Data</v>
      </c>
      <c r="O94" t="str">
        <f>'D-RP-1'!O$2</f>
        <v>Insufficient Data</v>
      </c>
      <c r="P94" t="str">
        <f>'D-RP-1'!P$2</f>
        <v>Uncalculated</v>
      </c>
      <c r="Q94">
        <f t="shared" si="4"/>
        <v>0</v>
      </c>
      <c r="R94">
        <f t="shared" si="5"/>
        <v>0</v>
      </c>
      <c r="S94" s="591" t="s">
        <v>95</v>
      </c>
      <c r="T94" s="591" t="s">
        <v>1828</v>
      </c>
      <c r="U94" s="591">
        <v>2015</v>
      </c>
      <c r="V94" s="597" t="str">
        <f>IF(V92="Blank", "NA", IF(W94="Blank", "NA", V92*W94))</f>
        <v>NA</v>
      </c>
      <c r="W94" s="597" t="str">
        <f>IF(W93="Blank", "Blank", 1-W93)</f>
        <v>Blank</v>
      </c>
    </row>
    <row r="95" spans="1:23">
      <c r="A95">
        <f>'D-RP-1'!A$2</f>
        <v>0</v>
      </c>
      <c r="B95">
        <f>'D-RP-1'!B$2</f>
        <v>0</v>
      </c>
      <c r="C95">
        <f>'D-RP-1'!C$2</f>
        <v>0</v>
      </c>
      <c r="D95">
        <f>'D-RP-1'!D$2</f>
        <v>0</v>
      </c>
      <c r="E95">
        <f>'D-RP-1'!E$2</f>
        <v>0</v>
      </c>
      <c r="F95">
        <f>'D-RP-1'!F$2</f>
        <v>0</v>
      </c>
      <c r="G95">
        <f>'D-RP-1'!G$2</f>
        <v>0</v>
      </c>
      <c r="H95">
        <f>'D-RP-1'!H$2</f>
        <v>0</v>
      </c>
      <c r="I95">
        <f>'D-RP-1'!I$2</f>
        <v>0</v>
      </c>
      <c r="J95">
        <f>'D-RP-1'!J$2</f>
        <v>0</v>
      </c>
      <c r="K95">
        <f>'D-RP-1'!K$2</f>
        <v>0</v>
      </c>
      <c r="L95" t="str">
        <f>'D-RP-1'!L$2</f>
        <v>No Sales</v>
      </c>
      <c r="M95">
        <f>'D-RP-1'!M$2</f>
        <v>0</v>
      </c>
      <c r="N95" t="str">
        <f>'D-RP-1'!N$2</f>
        <v>Insufficient Data</v>
      </c>
      <c r="O95" t="str">
        <f>'D-RP-1'!O$2</f>
        <v>Insufficient Data</v>
      </c>
      <c r="P95" t="str">
        <f>'D-RP-1'!P$2</f>
        <v>Uncalculated</v>
      </c>
      <c r="Q95">
        <f t="shared" si="4"/>
        <v>0</v>
      </c>
      <c r="R95">
        <f t="shared" si="5"/>
        <v>0</v>
      </c>
      <c r="S95" s="591" t="s">
        <v>95</v>
      </c>
      <c r="T95" s="591" t="s">
        <v>1829</v>
      </c>
      <c r="U95" s="591">
        <v>2015</v>
      </c>
      <c r="V95" t="str">
        <f>IF(ISBLANK(Q7_TotalBoard_NonUS_2015), "Blank", Q7_TotalBoard_NonUS_2015)</f>
        <v>Blank</v>
      </c>
    </row>
    <row r="96" spans="1:23">
      <c r="A96">
        <f>'D-RP-1'!A$2</f>
        <v>0</v>
      </c>
      <c r="B96">
        <f>'D-RP-1'!B$2</f>
        <v>0</v>
      </c>
      <c r="C96">
        <f>'D-RP-1'!C$2</f>
        <v>0</v>
      </c>
      <c r="D96">
        <f>'D-RP-1'!D$2</f>
        <v>0</v>
      </c>
      <c r="E96">
        <f>'D-RP-1'!E$2</f>
        <v>0</v>
      </c>
      <c r="F96">
        <f>'D-RP-1'!F$2</f>
        <v>0</v>
      </c>
      <c r="G96">
        <f>'D-RP-1'!G$2</f>
        <v>0</v>
      </c>
      <c r="H96">
        <f>'D-RP-1'!H$2</f>
        <v>0</v>
      </c>
      <c r="I96">
        <f>'D-RP-1'!I$2</f>
        <v>0</v>
      </c>
      <c r="J96">
        <f>'D-RP-1'!J$2</f>
        <v>0</v>
      </c>
      <c r="K96">
        <f>'D-RP-1'!K$2</f>
        <v>0</v>
      </c>
      <c r="L96" t="str">
        <f>'D-RP-1'!L$2</f>
        <v>No Sales</v>
      </c>
      <c r="M96">
        <f>'D-RP-1'!M$2</f>
        <v>0</v>
      </c>
      <c r="N96" t="str">
        <f>'D-RP-1'!N$2</f>
        <v>Insufficient Data</v>
      </c>
      <c r="O96" t="str">
        <f>'D-RP-1'!O$2</f>
        <v>Insufficient Data</v>
      </c>
      <c r="P96" t="str">
        <f>'D-RP-1'!P$2</f>
        <v>Uncalculated</v>
      </c>
      <c r="Q96">
        <f t="shared" si="4"/>
        <v>0</v>
      </c>
      <c r="R96">
        <f t="shared" si="5"/>
        <v>0</v>
      </c>
      <c r="S96" s="591" t="s">
        <v>95</v>
      </c>
      <c r="T96" s="591" t="s">
        <v>1830</v>
      </c>
      <c r="U96" s="591">
        <v>2015</v>
      </c>
      <c r="V96" s="597" t="str">
        <f>IF(V95="Blank", "NA", IF(W96="Blank", "NA", V95*W96))</f>
        <v>NA</v>
      </c>
      <c r="W96" t="str">
        <f>IF(ISBLANK(Q7_TotalBoardGovPct_NonUS_2015), "Blank", Q7_TotalBoardGovPct_NonUS_2015)</f>
        <v>Blank</v>
      </c>
    </row>
    <row r="97" spans="1:23">
      <c r="A97">
        <f>'D-RP-1'!A$2</f>
        <v>0</v>
      </c>
      <c r="B97">
        <f>'D-RP-1'!B$2</f>
        <v>0</v>
      </c>
      <c r="C97">
        <f>'D-RP-1'!C$2</f>
        <v>0</v>
      </c>
      <c r="D97">
        <f>'D-RP-1'!D$2</f>
        <v>0</v>
      </c>
      <c r="E97">
        <f>'D-RP-1'!E$2</f>
        <v>0</v>
      </c>
      <c r="F97">
        <f>'D-RP-1'!F$2</f>
        <v>0</v>
      </c>
      <c r="G97">
        <f>'D-RP-1'!G$2</f>
        <v>0</v>
      </c>
      <c r="H97">
        <f>'D-RP-1'!H$2</f>
        <v>0</v>
      </c>
      <c r="I97">
        <f>'D-RP-1'!I$2</f>
        <v>0</v>
      </c>
      <c r="J97">
        <f>'D-RP-1'!J$2</f>
        <v>0</v>
      </c>
      <c r="K97">
        <f>'D-RP-1'!K$2</f>
        <v>0</v>
      </c>
      <c r="L97" t="str">
        <f>'D-RP-1'!L$2</f>
        <v>No Sales</v>
      </c>
      <c r="M97">
        <f>'D-RP-1'!M$2</f>
        <v>0</v>
      </c>
      <c r="N97" t="str">
        <f>'D-RP-1'!N$2</f>
        <v>Insufficient Data</v>
      </c>
      <c r="O97" t="str">
        <f>'D-RP-1'!O$2</f>
        <v>Insufficient Data</v>
      </c>
      <c r="P97" t="str">
        <f>'D-RP-1'!P$2</f>
        <v>Uncalculated</v>
      </c>
      <c r="Q97">
        <f t="shared" si="4"/>
        <v>0</v>
      </c>
      <c r="R97">
        <f t="shared" si="5"/>
        <v>0</v>
      </c>
      <c r="S97" s="591" t="s">
        <v>95</v>
      </c>
      <c r="T97" s="591" t="s">
        <v>1831</v>
      </c>
      <c r="U97" s="591">
        <v>2015</v>
      </c>
      <c r="V97" s="597" t="str">
        <f>IF(V95="Blank", "NA", IF(W97="Blank", "NA", V95*W97))</f>
        <v>NA</v>
      </c>
      <c r="W97" s="597" t="str">
        <f>IF(W96="Blank", "Blank", 1-W96)</f>
        <v>Blank</v>
      </c>
    </row>
    <row r="98" spans="1:23">
      <c r="A98">
        <f>'D-RP-1'!A$2</f>
        <v>0</v>
      </c>
      <c r="B98">
        <f>'D-RP-1'!B$2</f>
        <v>0</v>
      </c>
      <c r="C98">
        <f>'D-RP-1'!C$2</f>
        <v>0</v>
      </c>
      <c r="D98">
        <f>'D-RP-1'!D$2</f>
        <v>0</v>
      </c>
      <c r="E98">
        <f>'D-RP-1'!E$2</f>
        <v>0</v>
      </c>
      <c r="F98">
        <f>'D-RP-1'!F$2</f>
        <v>0</v>
      </c>
      <c r="G98">
        <f>'D-RP-1'!G$2</f>
        <v>0</v>
      </c>
      <c r="H98">
        <f>'D-RP-1'!H$2</f>
        <v>0</v>
      </c>
      <c r="I98">
        <f>'D-RP-1'!I$2</f>
        <v>0</v>
      </c>
      <c r="J98">
        <f>'D-RP-1'!J$2</f>
        <v>0</v>
      </c>
      <c r="K98">
        <f>'D-RP-1'!K$2</f>
        <v>0</v>
      </c>
      <c r="L98" t="str">
        <f>'D-RP-1'!L$2</f>
        <v>No Sales</v>
      </c>
      <c r="M98">
        <f>'D-RP-1'!M$2</f>
        <v>0</v>
      </c>
      <c r="N98" t="str">
        <f>'D-RP-1'!N$2</f>
        <v>Insufficient Data</v>
      </c>
      <c r="O98" t="str">
        <f>'D-RP-1'!O$2</f>
        <v>Insufficient Data</v>
      </c>
      <c r="P98" t="str">
        <f>'D-RP-1'!P$2</f>
        <v>Uncalculated</v>
      </c>
      <c r="Q98">
        <f t="shared" ref="Q98:Q109" si="6">Q7_Schedule</f>
        <v>0</v>
      </c>
      <c r="R98">
        <f t="shared" ref="R98:R109" si="7">Q7_Source</f>
        <v>0</v>
      </c>
      <c r="S98" s="591" t="s">
        <v>95</v>
      </c>
      <c r="T98" s="591" t="s">
        <v>1832</v>
      </c>
      <c r="U98" s="591">
        <v>2015</v>
      </c>
      <c r="V98" t="str">
        <f>IF(ISBLANK(Q7_TotalBare_NonUS_2015), "Blank", Q7_TotalBare_NonUS_2015)</f>
        <v>Blank</v>
      </c>
    </row>
    <row r="99" spans="1:23">
      <c r="A99">
        <f>'D-RP-1'!A$2</f>
        <v>0</v>
      </c>
      <c r="B99">
        <f>'D-RP-1'!B$2</f>
        <v>0</v>
      </c>
      <c r="C99">
        <f>'D-RP-1'!C$2</f>
        <v>0</v>
      </c>
      <c r="D99">
        <f>'D-RP-1'!D$2</f>
        <v>0</v>
      </c>
      <c r="E99">
        <f>'D-RP-1'!E$2</f>
        <v>0</v>
      </c>
      <c r="F99">
        <f>'D-RP-1'!F$2</f>
        <v>0</v>
      </c>
      <c r="G99">
        <f>'D-RP-1'!G$2</f>
        <v>0</v>
      </c>
      <c r="H99">
        <f>'D-RP-1'!H$2</f>
        <v>0</v>
      </c>
      <c r="I99">
        <f>'D-RP-1'!I$2</f>
        <v>0</v>
      </c>
      <c r="J99">
        <f>'D-RP-1'!J$2</f>
        <v>0</v>
      </c>
      <c r="K99">
        <f>'D-RP-1'!K$2</f>
        <v>0</v>
      </c>
      <c r="L99" t="str">
        <f>'D-RP-1'!L$2</f>
        <v>No Sales</v>
      </c>
      <c r="M99">
        <f>'D-RP-1'!M$2</f>
        <v>0</v>
      </c>
      <c r="N99" t="str">
        <f>'D-RP-1'!N$2</f>
        <v>Insufficient Data</v>
      </c>
      <c r="O99" t="str">
        <f>'D-RP-1'!O$2</f>
        <v>Insufficient Data</v>
      </c>
      <c r="P99" t="str">
        <f>'D-RP-1'!P$2</f>
        <v>Uncalculated</v>
      </c>
      <c r="Q99">
        <f t="shared" si="6"/>
        <v>0</v>
      </c>
      <c r="R99">
        <f t="shared" si="7"/>
        <v>0</v>
      </c>
      <c r="S99" s="591" t="s">
        <v>95</v>
      </c>
      <c r="T99" s="591" t="s">
        <v>1833</v>
      </c>
      <c r="U99" s="591">
        <v>2015</v>
      </c>
      <c r="V99" s="597" t="str">
        <f>IF(V98="Blank", "NA", IF(W99="Blank", "NA", V98*W99))</f>
        <v>NA</v>
      </c>
      <c r="W99" t="str">
        <f>IF(ISBLANK(Q7_TotalBareGovPct_NonUS_2015), "Blank", Q7_TotalBareGovPct_NonUS_2015)</f>
        <v>Blank</v>
      </c>
    </row>
    <row r="100" spans="1:23">
      <c r="A100">
        <f>'D-RP-1'!A$2</f>
        <v>0</v>
      </c>
      <c r="B100">
        <f>'D-RP-1'!B$2</f>
        <v>0</v>
      </c>
      <c r="C100">
        <f>'D-RP-1'!C$2</f>
        <v>0</v>
      </c>
      <c r="D100">
        <f>'D-RP-1'!D$2</f>
        <v>0</v>
      </c>
      <c r="E100">
        <f>'D-RP-1'!E$2</f>
        <v>0</v>
      </c>
      <c r="F100">
        <f>'D-RP-1'!F$2</f>
        <v>0</v>
      </c>
      <c r="G100">
        <f>'D-RP-1'!G$2</f>
        <v>0</v>
      </c>
      <c r="H100">
        <f>'D-RP-1'!H$2</f>
        <v>0</v>
      </c>
      <c r="I100">
        <f>'D-RP-1'!I$2</f>
        <v>0</v>
      </c>
      <c r="J100">
        <f>'D-RP-1'!J$2</f>
        <v>0</v>
      </c>
      <c r="K100">
        <f>'D-RP-1'!K$2</f>
        <v>0</v>
      </c>
      <c r="L100" t="str">
        <f>'D-RP-1'!L$2</f>
        <v>No Sales</v>
      </c>
      <c r="M100">
        <f>'D-RP-1'!M$2</f>
        <v>0</v>
      </c>
      <c r="N100" t="str">
        <f>'D-RP-1'!N$2</f>
        <v>Insufficient Data</v>
      </c>
      <c r="O100" t="str">
        <f>'D-RP-1'!O$2</f>
        <v>Insufficient Data</v>
      </c>
      <c r="P100" t="str">
        <f>'D-RP-1'!P$2</f>
        <v>Uncalculated</v>
      </c>
      <c r="Q100">
        <f t="shared" si="6"/>
        <v>0</v>
      </c>
      <c r="R100">
        <f t="shared" si="7"/>
        <v>0</v>
      </c>
      <c r="S100" s="591" t="s">
        <v>95</v>
      </c>
      <c r="T100" s="591" t="s">
        <v>1834</v>
      </c>
      <c r="U100" s="591">
        <v>2015</v>
      </c>
      <c r="V100" s="597" t="str">
        <f>IF(V98="Blank", "NA", IF(W100="Blank", "NA", V98*W100))</f>
        <v>NA</v>
      </c>
      <c r="W100" s="597" t="str">
        <f>IF(W99="Blank", "Blank", 1-W99)</f>
        <v>Blank</v>
      </c>
    </row>
    <row r="101" spans="1:23">
      <c r="A101">
        <f>'D-RP-1'!A$2</f>
        <v>0</v>
      </c>
      <c r="B101">
        <f>'D-RP-1'!B$2</f>
        <v>0</v>
      </c>
      <c r="C101">
        <f>'D-RP-1'!C$2</f>
        <v>0</v>
      </c>
      <c r="D101">
        <f>'D-RP-1'!D$2</f>
        <v>0</v>
      </c>
      <c r="E101">
        <f>'D-RP-1'!E$2</f>
        <v>0</v>
      </c>
      <c r="F101">
        <f>'D-RP-1'!F$2</f>
        <v>0</v>
      </c>
      <c r="G101">
        <f>'D-RP-1'!G$2</f>
        <v>0</v>
      </c>
      <c r="H101">
        <f>'D-RP-1'!H$2</f>
        <v>0</v>
      </c>
      <c r="I101">
        <f>'D-RP-1'!I$2</f>
        <v>0</v>
      </c>
      <c r="J101">
        <f>'D-RP-1'!J$2</f>
        <v>0</v>
      </c>
      <c r="K101">
        <f>'D-RP-1'!K$2</f>
        <v>0</v>
      </c>
      <c r="L101" t="str">
        <f>'D-RP-1'!L$2</f>
        <v>No Sales</v>
      </c>
      <c r="M101">
        <f>'D-RP-1'!M$2</f>
        <v>0</v>
      </c>
      <c r="N101" t="str">
        <f>'D-RP-1'!N$2</f>
        <v>Insufficient Data</v>
      </c>
      <c r="O101" t="str">
        <f>'D-RP-1'!O$2</f>
        <v>Insufficient Data</v>
      </c>
      <c r="P101" t="str">
        <f>'D-RP-1'!P$2</f>
        <v>Uncalculated</v>
      </c>
      <c r="Q101">
        <f t="shared" si="6"/>
        <v>0</v>
      </c>
      <c r="R101">
        <f t="shared" si="7"/>
        <v>0</v>
      </c>
      <c r="S101" s="591" t="s">
        <v>1835</v>
      </c>
      <c r="T101" s="591" t="s">
        <v>1826</v>
      </c>
      <c r="U101" s="591">
        <v>2015</v>
      </c>
      <c r="V101" s="597" t="str">
        <f>IF(V83="Blank", IF(V92="Blank", "Blank", V92), IF(V92="Blank", V83, V83+V92))</f>
        <v>Blank</v>
      </c>
      <c r="W101" s="597"/>
    </row>
    <row r="102" spans="1:23">
      <c r="A102">
        <f>'D-RP-1'!A$2</f>
        <v>0</v>
      </c>
      <c r="B102">
        <f>'D-RP-1'!B$2</f>
        <v>0</v>
      </c>
      <c r="C102">
        <f>'D-RP-1'!C$2</f>
        <v>0</v>
      </c>
      <c r="D102">
        <f>'D-RP-1'!D$2</f>
        <v>0</v>
      </c>
      <c r="E102">
        <f>'D-RP-1'!E$2</f>
        <v>0</v>
      </c>
      <c r="F102">
        <f>'D-RP-1'!F$2</f>
        <v>0</v>
      </c>
      <c r="G102">
        <f>'D-RP-1'!G$2</f>
        <v>0</v>
      </c>
      <c r="H102">
        <f>'D-RP-1'!H$2</f>
        <v>0</v>
      </c>
      <c r="I102">
        <f>'D-RP-1'!I$2</f>
        <v>0</v>
      </c>
      <c r="J102">
        <f>'D-RP-1'!J$2</f>
        <v>0</v>
      </c>
      <c r="K102">
        <f>'D-RP-1'!K$2</f>
        <v>0</v>
      </c>
      <c r="L102" t="str">
        <f>'D-RP-1'!L$2</f>
        <v>No Sales</v>
      </c>
      <c r="M102">
        <f>'D-RP-1'!M$2</f>
        <v>0</v>
      </c>
      <c r="N102" t="str">
        <f>'D-RP-1'!N$2</f>
        <v>Insufficient Data</v>
      </c>
      <c r="O102" t="str">
        <f>'D-RP-1'!O$2</f>
        <v>Insufficient Data</v>
      </c>
      <c r="P102" t="str">
        <f>'D-RP-1'!P$2</f>
        <v>Uncalculated</v>
      </c>
      <c r="Q102">
        <f t="shared" si="6"/>
        <v>0</v>
      </c>
      <c r="R102">
        <f t="shared" si="7"/>
        <v>0</v>
      </c>
      <c r="S102" s="591" t="s">
        <v>1835</v>
      </c>
      <c r="T102" s="591" t="s">
        <v>1827</v>
      </c>
      <c r="U102" s="591">
        <v>2015</v>
      </c>
      <c r="V102" s="597" t="str">
        <f>IF(V84="NA", IF(V93="NA", "NA", V93), IF(V93="NA", V84, V84+V93))</f>
        <v>NA</v>
      </c>
      <c r="W102" s="597" t="str">
        <f>IF(ISERROR(V102/V101), "NA", V102/V101)</f>
        <v>NA</v>
      </c>
    </row>
    <row r="103" spans="1:23">
      <c r="A103">
        <f>'D-RP-1'!A$2</f>
        <v>0</v>
      </c>
      <c r="B103">
        <f>'D-RP-1'!B$2</f>
        <v>0</v>
      </c>
      <c r="C103">
        <f>'D-RP-1'!C$2</f>
        <v>0</v>
      </c>
      <c r="D103">
        <f>'D-RP-1'!D$2</f>
        <v>0</v>
      </c>
      <c r="E103">
        <f>'D-RP-1'!E$2</f>
        <v>0</v>
      </c>
      <c r="F103">
        <f>'D-RP-1'!F$2</f>
        <v>0</v>
      </c>
      <c r="G103">
        <f>'D-RP-1'!G$2</f>
        <v>0</v>
      </c>
      <c r="H103">
        <f>'D-RP-1'!H$2</f>
        <v>0</v>
      </c>
      <c r="I103">
        <f>'D-RP-1'!I$2</f>
        <v>0</v>
      </c>
      <c r="J103">
        <f>'D-RP-1'!J$2</f>
        <v>0</v>
      </c>
      <c r="K103">
        <f>'D-RP-1'!K$2</f>
        <v>0</v>
      </c>
      <c r="L103" t="str">
        <f>'D-RP-1'!L$2</f>
        <v>No Sales</v>
      </c>
      <c r="M103">
        <f>'D-RP-1'!M$2</f>
        <v>0</v>
      </c>
      <c r="N103" t="str">
        <f>'D-RP-1'!N$2</f>
        <v>Insufficient Data</v>
      </c>
      <c r="O103" t="str">
        <f>'D-RP-1'!O$2</f>
        <v>Insufficient Data</v>
      </c>
      <c r="P103" t="str">
        <f>'D-RP-1'!P$2</f>
        <v>Uncalculated</v>
      </c>
      <c r="Q103">
        <f t="shared" si="6"/>
        <v>0</v>
      </c>
      <c r="R103">
        <f t="shared" si="7"/>
        <v>0</v>
      </c>
      <c r="S103" s="591" t="s">
        <v>1835</v>
      </c>
      <c r="T103" s="591" t="s">
        <v>1828</v>
      </c>
      <c r="U103" s="591">
        <v>2015</v>
      </c>
      <c r="V103" s="597" t="str">
        <f>IF(V85="NA", IF(V94="NA", "NA", V94), IF(V94="NA", V85, V85+V94))</f>
        <v>NA</v>
      </c>
      <c r="W103" s="597" t="str">
        <f>IF(ISERROR(V103/V101), "NA", V103/V101)</f>
        <v>NA</v>
      </c>
    </row>
    <row r="104" spans="1:23">
      <c r="A104">
        <f>'D-RP-1'!A$2</f>
        <v>0</v>
      </c>
      <c r="B104">
        <f>'D-RP-1'!B$2</f>
        <v>0</v>
      </c>
      <c r="C104">
        <f>'D-RP-1'!C$2</f>
        <v>0</v>
      </c>
      <c r="D104">
        <f>'D-RP-1'!D$2</f>
        <v>0</v>
      </c>
      <c r="E104">
        <f>'D-RP-1'!E$2</f>
        <v>0</v>
      </c>
      <c r="F104">
        <f>'D-RP-1'!F$2</f>
        <v>0</v>
      </c>
      <c r="G104">
        <f>'D-RP-1'!G$2</f>
        <v>0</v>
      </c>
      <c r="H104">
        <f>'D-RP-1'!H$2</f>
        <v>0</v>
      </c>
      <c r="I104">
        <f>'D-RP-1'!I$2</f>
        <v>0</v>
      </c>
      <c r="J104">
        <f>'D-RP-1'!J$2</f>
        <v>0</v>
      </c>
      <c r="K104">
        <f>'D-RP-1'!K$2</f>
        <v>0</v>
      </c>
      <c r="L104" t="str">
        <f>'D-RP-1'!L$2</f>
        <v>No Sales</v>
      </c>
      <c r="M104">
        <f>'D-RP-1'!M$2</f>
        <v>0</v>
      </c>
      <c r="N104" t="str">
        <f>'D-RP-1'!N$2</f>
        <v>Insufficient Data</v>
      </c>
      <c r="O104" t="str">
        <f>'D-RP-1'!O$2</f>
        <v>Insufficient Data</v>
      </c>
      <c r="P104" t="str">
        <f>'D-RP-1'!P$2</f>
        <v>Uncalculated</v>
      </c>
      <c r="Q104">
        <f t="shared" si="6"/>
        <v>0</v>
      </c>
      <c r="R104">
        <f t="shared" si="7"/>
        <v>0</v>
      </c>
      <c r="S104" s="591" t="s">
        <v>1835</v>
      </c>
      <c r="T104" s="591" t="s">
        <v>1829</v>
      </c>
      <c r="U104" s="591">
        <v>2015</v>
      </c>
      <c r="V104" s="597" t="str">
        <f>IF(V86="Blank", IF(V95="Blank", "Blank", V95), IF(V95="Blank", V86, V86+V95))</f>
        <v>Blank</v>
      </c>
      <c r="W104" s="597"/>
    </row>
    <row r="105" spans="1:23">
      <c r="A105">
        <f>'D-RP-1'!A$2</f>
        <v>0</v>
      </c>
      <c r="B105">
        <f>'D-RP-1'!B$2</f>
        <v>0</v>
      </c>
      <c r="C105">
        <f>'D-RP-1'!C$2</f>
        <v>0</v>
      </c>
      <c r="D105">
        <f>'D-RP-1'!D$2</f>
        <v>0</v>
      </c>
      <c r="E105">
        <f>'D-RP-1'!E$2</f>
        <v>0</v>
      </c>
      <c r="F105">
        <f>'D-RP-1'!F$2</f>
        <v>0</v>
      </c>
      <c r="G105">
        <f>'D-RP-1'!G$2</f>
        <v>0</v>
      </c>
      <c r="H105">
        <f>'D-RP-1'!H$2</f>
        <v>0</v>
      </c>
      <c r="I105">
        <f>'D-RP-1'!I$2</f>
        <v>0</v>
      </c>
      <c r="J105">
        <f>'D-RP-1'!J$2</f>
        <v>0</v>
      </c>
      <c r="K105">
        <f>'D-RP-1'!K$2</f>
        <v>0</v>
      </c>
      <c r="L105" t="str">
        <f>'D-RP-1'!L$2</f>
        <v>No Sales</v>
      </c>
      <c r="M105">
        <f>'D-RP-1'!M$2</f>
        <v>0</v>
      </c>
      <c r="N105" t="str">
        <f>'D-RP-1'!N$2</f>
        <v>Insufficient Data</v>
      </c>
      <c r="O105" t="str">
        <f>'D-RP-1'!O$2</f>
        <v>Insufficient Data</v>
      </c>
      <c r="P105" t="str">
        <f>'D-RP-1'!P$2</f>
        <v>Uncalculated</v>
      </c>
      <c r="Q105">
        <f t="shared" si="6"/>
        <v>0</v>
      </c>
      <c r="R105">
        <f t="shared" si="7"/>
        <v>0</v>
      </c>
      <c r="S105" s="591" t="s">
        <v>1835</v>
      </c>
      <c r="T105" s="591" t="s">
        <v>1830</v>
      </c>
      <c r="U105" s="591">
        <v>2015</v>
      </c>
      <c r="V105" s="597" t="str">
        <f>IF(V87="NA", IF(V96="NA", "NA", V96), IF(V96="NA", V87, V87+V96))</f>
        <v>NA</v>
      </c>
      <c r="W105" s="597" t="str">
        <f>IF(ISERROR(V105/V104), "NA", V105/V104)</f>
        <v>NA</v>
      </c>
    </row>
    <row r="106" spans="1:23">
      <c r="A106">
        <f>'D-RP-1'!A$2</f>
        <v>0</v>
      </c>
      <c r="B106">
        <f>'D-RP-1'!B$2</f>
        <v>0</v>
      </c>
      <c r="C106">
        <f>'D-RP-1'!C$2</f>
        <v>0</v>
      </c>
      <c r="D106">
        <f>'D-RP-1'!D$2</f>
        <v>0</v>
      </c>
      <c r="E106">
        <f>'D-RP-1'!E$2</f>
        <v>0</v>
      </c>
      <c r="F106">
        <f>'D-RP-1'!F$2</f>
        <v>0</v>
      </c>
      <c r="G106">
        <f>'D-RP-1'!G$2</f>
        <v>0</v>
      </c>
      <c r="H106">
        <f>'D-RP-1'!H$2</f>
        <v>0</v>
      </c>
      <c r="I106">
        <f>'D-RP-1'!I$2</f>
        <v>0</v>
      </c>
      <c r="J106">
        <f>'D-RP-1'!J$2</f>
        <v>0</v>
      </c>
      <c r="K106">
        <f>'D-RP-1'!K$2</f>
        <v>0</v>
      </c>
      <c r="L106" t="str">
        <f>'D-RP-1'!L$2</f>
        <v>No Sales</v>
      </c>
      <c r="M106">
        <f>'D-RP-1'!M$2</f>
        <v>0</v>
      </c>
      <c r="N106" t="str">
        <f>'D-RP-1'!N$2</f>
        <v>Insufficient Data</v>
      </c>
      <c r="O106" t="str">
        <f>'D-RP-1'!O$2</f>
        <v>Insufficient Data</v>
      </c>
      <c r="P106" t="str">
        <f>'D-RP-1'!P$2</f>
        <v>Uncalculated</v>
      </c>
      <c r="Q106">
        <f t="shared" si="6"/>
        <v>0</v>
      </c>
      <c r="R106">
        <f t="shared" si="7"/>
        <v>0</v>
      </c>
      <c r="S106" s="591" t="s">
        <v>1835</v>
      </c>
      <c r="T106" s="591" t="s">
        <v>1831</v>
      </c>
      <c r="U106" s="591">
        <v>2015</v>
      </c>
      <c r="V106" s="597" t="str">
        <f>IF(V88="NA", IF(V97="NA", "NA", V97), IF(V97="NA", V88, V88+V97))</f>
        <v>NA</v>
      </c>
      <c r="W106" s="597" t="str">
        <f>IF(ISERROR(V106/V104), "NA", V106/V104)</f>
        <v>NA</v>
      </c>
    </row>
    <row r="107" spans="1:23">
      <c r="A107">
        <f>'D-RP-1'!A$2</f>
        <v>0</v>
      </c>
      <c r="B107">
        <f>'D-RP-1'!B$2</f>
        <v>0</v>
      </c>
      <c r="C107">
        <f>'D-RP-1'!C$2</f>
        <v>0</v>
      </c>
      <c r="D107">
        <f>'D-RP-1'!D$2</f>
        <v>0</v>
      </c>
      <c r="E107">
        <f>'D-RP-1'!E$2</f>
        <v>0</v>
      </c>
      <c r="F107">
        <f>'D-RP-1'!F$2</f>
        <v>0</v>
      </c>
      <c r="G107">
        <f>'D-RP-1'!G$2</f>
        <v>0</v>
      </c>
      <c r="H107">
        <f>'D-RP-1'!H$2</f>
        <v>0</v>
      </c>
      <c r="I107">
        <f>'D-RP-1'!I$2</f>
        <v>0</v>
      </c>
      <c r="J107">
        <f>'D-RP-1'!J$2</f>
        <v>0</v>
      </c>
      <c r="K107">
        <f>'D-RP-1'!K$2</f>
        <v>0</v>
      </c>
      <c r="L107" t="str">
        <f>'D-RP-1'!L$2</f>
        <v>No Sales</v>
      </c>
      <c r="M107">
        <f>'D-RP-1'!M$2</f>
        <v>0</v>
      </c>
      <c r="N107" t="str">
        <f>'D-RP-1'!N$2</f>
        <v>Insufficient Data</v>
      </c>
      <c r="O107" t="str">
        <f>'D-RP-1'!O$2</f>
        <v>Insufficient Data</v>
      </c>
      <c r="P107" t="str">
        <f>'D-RP-1'!P$2</f>
        <v>Uncalculated</v>
      </c>
      <c r="Q107">
        <f t="shared" si="6"/>
        <v>0</v>
      </c>
      <c r="R107">
        <f t="shared" si="7"/>
        <v>0</v>
      </c>
      <c r="S107" s="591" t="s">
        <v>1835</v>
      </c>
      <c r="T107" s="591" t="s">
        <v>1832</v>
      </c>
      <c r="U107" s="591">
        <v>2015</v>
      </c>
      <c r="V107" s="597" t="str">
        <f>IF(V89="Blank", IF(V98="Blank", "Blank", V98), IF(V98="Blank", V89, V89+V98))</f>
        <v>Blank</v>
      </c>
      <c r="W107" s="597"/>
    </row>
    <row r="108" spans="1:23">
      <c r="A108">
        <f>'D-RP-1'!A$2</f>
        <v>0</v>
      </c>
      <c r="B108">
        <f>'D-RP-1'!B$2</f>
        <v>0</v>
      </c>
      <c r="C108">
        <f>'D-RP-1'!C$2</f>
        <v>0</v>
      </c>
      <c r="D108">
        <f>'D-RP-1'!D$2</f>
        <v>0</v>
      </c>
      <c r="E108">
        <f>'D-RP-1'!E$2</f>
        <v>0</v>
      </c>
      <c r="F108">
        <f>'D-RP-1'!F$2</f>
        <v>0</v>
      </c>
      <c r="G108">
        <f>'D-RP-1'!G$2</f>
        <v>0</v>
      </c>
      <c r="H108">
        <f>'D-RP-1'!H$2</f>
        <v>0</v>
      </c>
      <c r="I108">
        <f>'D-RP-1'!I$2</f>
        <v>0</v>
      </c>
      <c r="J108">
        <f>'D-RP-1'!J$2</f>
        <v>0</v>
      </c>
      <c r="K108">
        <f>'D-RP-1'!K$2</f>
        <v>0</v>
      </c>
      <c r="L108" t="str">
        <f>'D-RP-1'!L$2</f>
        <v>No Sales</v>
      </c>
      <c r="M108">
        <f>'D-RP-1'!M$2</f>
        <v>0</v>
      </c>
      <c r="N108" t="str">
        <f>'D-RP-1'!N$2</f>
        <v>Insufficient Data</v>
      </c>
      <c r="O108" t="str">
        <f>'D-RP-1'!O$2</f>
        <v>Insufficient Data</v>
      </c>
      <c r="P108" t="str">
        <f>'D-RP-1'!P$2</f>
        <v>Uncalculated</v>
      </c>
      <c r="Q108">
        <f t="shared" si="6"/>
        <v>0</v>
      </c>
      <c r="R108">
        <f t="shared" si="7"/>
        <v>0</v>
      </c>
      <c r="S108" s="591" t="s">
        <v>1835</v>
      </c>
      <c r="T108" s="591" t="s">
        <v>1833</v>
      </c>
      <c r="U108" s="591">
        <v>2015</v>
      </c>
      <c r="V108" s="597" t="str">
        <f>IF(V90="NA", IF(V99="NA", "NA", V99), IF(V99="NA", V90, V90+V99))</f>
        <v>NA</v>
      </c>
      <c r="W108" s="597" t="str">
        <f>IF(ISERROR(V108/V107), "NA", V108/V107)</f>
        <v>NA</v>
      </c>
    </row>
    <row r="109" spans="1:23">
      <c r="A109">
        <f>'D-RP-1'!A$2</f>
        <v>0</v>
      </c>
      <c r="B109">
        <f>'D-RP-1'!B$2</f>
        <v>0</v>
      </c>
      <c r="C109">
        <f>'D-RP-1'!C$2</f>
        <v>0</v>
      </c>
      <c r="D109">
        <f>'D-RP-1'!D$2</f>
        <v>0</v>
      </c>
      <c r="E109">
        <f>'D-RP-1'!E$2</f>
        <v>0</v>
      </c>
      <c r="F109">
        <f>'D-RP-1'!F$2</f>
        <v>0</v>
      </c>
      <c r="G109">
        <f>'D-RP-1'!G$2</f>
        <v>0</v>
      </c>
      <c r="H109">
        <f>'D-RP-1'!H$2</f>
        <v>0</v>
      </c>
      <c r="I109">
        <f>'D-RP-1'!I$2</f>
        <v>0</v>
      </c>
      <c r="J109">
        <f>'D-RP-1'!J$2</f>
        <v>0</v>
      </c>
      <c r="K109">
        <f>'D-RP-1'!K$2</f>
        <v>0</v>
      </c>
      <c r="L109" t="str">
        <f>'D-RP-1'!L$2</f>
        <v>No Sales</v>
      </c>
      <c r="M109">
        <f>'D-RP-1'!M$2</f>
        <v>0</v>
      </c>
      <c r="N109" t="str">
        <f>'D-RP-1'!N$2</f>
        <v>Insufficient Data</v>
      </c>
      <c r="O109" t="str">
        <f>'D-RP-1'!O$2</f>
        <v>Insufficient Data</v>
      </c>
      <c r="P109" t="str">
        <f>'D-RP-1'!P$2</f>
        <v>Uncalculated</v>
      </c>
      <c r="Q109">
        <f t="shared" si="6"/>
        <v>0</v>
      </c>
      <c r="R109">
        <f t="shared" si="7"/>
        <v>0</v>
      </c>
      <c r="S109" s="591" t="s">
        <v>1835</v>
      </c>
      <c r="T109" s="591" t="s">
        <v>1834</v>
      </c>
      <c r="U109" s="591">
        <v>2015</v>
      </c>
      <c r="V109" s="597" t="str">
        <f>IF(V91="NA", IF(V100="NA", "NA", V100), IF(V100="NA", V91, V91+V100))</f>
        <v>NA</v>
      </c>
      <c r="W109" s="597" t="str">
        <f>IF(ISERROR(V109/V107), "NA", V109/V107)</f>
        <v>NA</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zoomScale="85" zoomScaleNormal="85" workbookViewId="0">
      <selection activeCell="A2" sqref="A2:P2"/>
    </sheetView>
  </sheetViews>
  <sheetFormatPr defaultRowHeight="15"/>
  <sheetData>
    <row r="1" spans="1:2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1820</v>
      </c>
      <c r="R1" t="s">
        <v>1821</v>
      </c>
      <c r="S1" t="s">
        <v>1837</v>
      </c>
      <c r="T1" t="s">
        <v>98</v>
      </c>
      <c r="U1" t="s">
        <v>1838</v>
      </c>
      <c r="V1" t="s">
        <v>1824</v>
      </c>
    </row>
    <row r="2" spans="1:2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21" si="0">Q8_IS_Schedule</f>
        <v>0</v>
      </c>
      <c r="R2">
        <f t="shared" ref="R2:R21" si="1">Q8_IS_Source</f>
        <v>0</v>
      </c>
      <c r="S2" s="591" t="s">
        <v>1839</v>
      </c>
      <c r="T2" s="591">
        <v>2012</v>
      </c>
      <c r="U2" s="591" t="s">
        <v>64</v>
      </c>
      <c r="V2">
        <f>Q8_NetSales_2012</f>
        <v>0</v>
      </c>
    </row>
    <row r="3" spans="1:22">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s="591" t="s">
        <v>1839</v>
      </c>
      <c r="T3" s="591">
        <v>2012</v>
      </c>
      <c r="U3" s="591" t="s">
        <v>65</v>
      </c>
      <c r="V3">
        <f>Q8_COGS_2012</f>
        <v>0</v>
      </c>
    </row>
    <row r="4" spans="1:22">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s="591" t="s">
        <v>1839</v>
      </c>
      <c r="T4" s="591">
        <v>2012</v>
      </c>
      <c r="U4" s="591" t="s">
        <v>66</v>
      </c>
      <c r="V4">
        <f>Q8_OpInc_2012</f>
        <v>0</v>
      </c>
    </row>
    <row r="5" spans="1:22">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s="591" t="s">
        <v>1839</v>
      </c>
      <c r="T5" s="591">
        <v>2012</v>
      </c>
      <c r="U5" s="591" t="s">
        <v>67</v>
      </c>
      <c r="V5">
        <f>Q8_EBIT_2012</f>
        <v>0</v>
      </c>
    </row>
    <row r="6" spans="1:22">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s="591" t="s">
        <v>1839</v>
      </c>
      <c r="T6" s="591">
        <v>2012</v>
      </c>
      <c r="U6" s="591" t="s">
        <v>68</v>
      </c>
      <c r="V6">
        <f>Q8_NetInc_2012</f>
        <v>0</v>
      </c>
    </row>
    <row r="7" spans="1:22">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s="591" t="s">
        <v>1839</v>
      </c>
      <c r="T7" s="591">
        <v>2013</v>
      </c>
      <c r="U7" s="591" t="s">
        <v>64</v>
      </c>
      <c r="V7">
        <f>Q8_NetSales_2013</f>
        <v>0</v>
      </c>
    </row>
    <row r="8" spans="1:22">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s="591" t="s">
        <v>1839</v>
      </c>
      <c r="T8" s="591">
        <v>2013</v>
      </c>
      <c r="U8" s="591" t="s">
        <v>65</v>
      </c>
      <c r="V8">
        <f>Q8_COGS_2013</f>
        <v>0</v>
      </c>
    </row>
    <row r="9" spans="1:22">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s="591" t="s">
        <v>1839</v>
      </c>
      <c r="T9" s="591">
        <v>2013</v>
      </c>
      <c r="U9" s="591" t="s">
        <v>66</v>
      </c>
      <c r="V9">
        <f>Q8_OpInc_2013</f>
        <v>0</v>
      </c>
    </row>
    <row r="10" spans="1:22">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s="591" t="s">
        <v>1839</v>
      </c>
      <c r="T10" s="591">
        <v>2013</v>
      </c>
      <c r="U10" s="591" t="s">
        <v>67</v>
      </c>
      <c r="V10">
        <f>Q8_EBIT_2013</f>
        <v>0</v>
      </c>
    </row>
    <row r="11" spans="1:22">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s="591" t="s">
        <v>1839</v>
      </c>
      <c r="T11" s="591">
        <v>2013</v>
      </c>
      <c r="U11" s="591" t="s">
        <v>68</v>
      </c>
      <c r="V11">
        <f>Q8_NetInc_2013</f>
        <v>0</v>
      </c>
    </row>
    <row r="12" spans="1:22">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s="591" t="s">
        <v>1839</v>
      </c>
      <c r="T12" s="591">
        <v>2014</v>
      </c>
      <c r="U12" s="591" t="s">
        <v>64</v>
      </c>
      <c r="V12">
        <f>Q8_NetSales_2014</f>
        <v>0</v>
      </c>
    </row>
    <row r="13" spans="1:22">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s="591" t="s">
        <v>1839</v>
      </c>
      <c r="T13" s="591">
        <v>2014</v>
      </c>
      <c r="U13" s="591" t="s">
        <v>65</v>
      </c>
      <c r="V13">
        <f>Q8_COGS_2014</f>
        <v>0</v>
      </c>
    </row>
    <row r="14" spans="1:22">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s="591" t="s">
        <v>1839</v>
      </c>
      <c r="T14" s="591">
        <v>2014</v>
      </c>
      <c r="U14" s="591" t="s">
        <v>66</v>
      </c>
      <c r="V14">
        <f>Q8_OpInc_2014</f>
        <v>0</v>
      </c>
    </row>
    <row r="15" spans="1:22">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s="591" t="s">
        <v>1839</v>
      </c>
      <c r="T15" s="591">
        <v>2014</v>
      </c>
      <c r="U15" s="591" t="s">
        <v>67</v>
      </c>
      <c r="V15">
        <f>Q8_EBIT_2014</f>
        <v>0</v>
      </c>
    </row>
    <row r="16" spans="1:22">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s="591" t="s">
        <v>1839</v>
      </c>
      <c r="T16" s="591">
        <v>2014</v>
      </c>
      <c r="U16" s="591" t="s">
        <v>68</v>
      </c>
      <c r="V16">
        <f>Q8_NetInc_2014</f>
        <v>0</v>
      </c>
    </row>
    <row r="17" spans="1:22">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s="591" t="s">
        <v>1839</v>
      </c>
      <c r="T17" s="591">
        <v>2015</v>
      </c>
      <c r="U17" s="591" t="s">
        <v>64</v>
      </c>
      <c r="V17">
        <f>Q8_NetSales_2015</f>
        <v>0</v>
      </c>
    </row>
    <row r="18" spans="1:22">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s="591" t="s">
        <v>1839</v>
      </c>
      <c r="T18" s="591">
        <v>2015</v>
      </c>
      <c r="U18" s="591" t="s">
        <v>65</v>
      </c>
      <c r="V18">
        <f>Q8_COGS_2015</f>
        <v>0</v>
      </c>
    </row>
    <row r="19" spans="1:22">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s="591" t="s">
        <v>1839</v>
      </c>
      <c r="T19" s="591">
        <v>2015</v>
      </c>
      <c r="U19" s="591" t="s">
        <v>66</v>
      </c>
      <c r="V19">
        <f>Q8_OpInc_2015</f>
        <v>0</v>
      </c>
    </row>
    <row r="20" spans="1:22">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s="591" t="s">
        <v>1839</v>
      </c>
      <c r="T20" s="591">
        <v>2015</v>
      </c>
      <c r="U20" s="591" t="s">
        <v>67</v>
      </c>
      <c r="V20">
        <f>Q8_EBIT_2015</f>
        <v>0</v>
      </c>
    </row>
    <row r="21" spans="1:22">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s="591" t="s">
        <v>1839</v>
      </c>
      <c r="T21" s="591">
        <v>2015</v>
      </c>
      <c r="U21" s="591" t="s">
        <v>68</v>
      </c>
      <c r="V21">
        <f>Q8_NetInc_2015</f>
        <v>0</v>
      </c>
    </row>
    <row r="22" spans="1:22">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ref="Q22:Q53" si="2">Q8_BS_Schedule</f>
        <v>0</v>
      </c>
      <c r="R22">
        <f t="shared" ref="R22:R53" si="3">Q8_BS_Source</f>
        <v>0</v>
      </c>
      <c r="S22" s="591" t="s">
        <v>1840</v>
      </c>
      <c r="T22" s="591">
        <v>2012</v>
      </c>
      <c r="U22" s="591" t="s">
        <v>70</v>
      </c>
      <c r="V22">
        <f>Q8_Cash_2012</f>
        <v>0</v>
      </c>
    </row>
    <row r="23" spans="1:22">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2"/>
        <v>0</v>
      </c>
      <c r="R23">
        <f t="shared" si="3"/>
        <v>0</v>
      </c>
      <c r="S23" s="591" t="s">
        <v>1840</v>
      </c>
      <c r="T23" s="591">
        <v>2012</v>
      </c>
      <c r="U23" s="591" t="s">
        <v>71</v>
      </c>
      <c r="V23">
        <f>Q8_Inv_2012</f>
        <v>0</v>
      </c>
    </row>
    <row r="24" spans="1:22">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2"/>
        <v>0</v>
      </c>
      <c r="R24">
        <f t="shared" si="3"/>
        <v>0</v>
      </c>
      <c r="S24" s="591" t="s">
        <v>1840</v>
      </c>
      <c r="T24" s="591">
        <v>2012</v>
      </c>
      <c r="U24" s="591" t="s">
        <v>1841</v>
      </c>
      <c r="V24">
        <f>Q8_CurrentAssets_2012</f>
        <v>0</v>
      </c>
    </row>
    <row r="25" spans="1:22">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2"/>
        <v>0</v>
      </c>
      <c r="R25">
        <f t="shared" si="3"/>
        <v>0</v>
      </c>
      <c r="S25" s="591" t="s">
        <v>1840</v>
      </c>
      <c r="T25" s="591">
        <v>2012</v>
      </c>
      <c r="U25" s="591" t="s">
        <v>73</v>
      </c>
      <c r="V25">
        <f>Q8_TotalAssets_2012</f>
        <v>0</v>
      </c>
    </row>
    <row r="26" spans="1:22">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2"/>
        <v>0</v>
      </c>
      <c r="R26">
        <f t="shared" si="3"/>
        <v>0</v>
      </c>
      <c r="S26" s="591" t="s">
        <v>1840</v>
      </c>
      <c r="T26" s="591">
        <v>2012</v>
      </c>
      <c r="U26" s="591" t="s">
        <v>1842</v>
      </c>
      <c r="V26">
        <f>Q8_CurrentLiab_2012</f>
        <v>0</v>
      </c>
    </row>
    <row r="27" spans="1:22">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2"/>
        <v>0</v>
      </c>
      <c r="R27">
        <f t="shared" si="3"/>
        <v>0</v>
      </c>
      <c r="S27" s="591" t="s">
        <v>1840</v>
      </c>
      <c r="T27" s="591">
        <v>2012</v>
      </c>
      <c r="U27" s="591" t="s">
        <v>75</v>
      </c>
      <c r="V27">
        <f>Q8_TotalLiab_2012</f>
        <v>0</v>
      </c>
    </row>
    <row r="28" spans="1:22">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2"/>
        <v>0</v>
      </c>
      <c r="R28">
        <f t="shared" si="3"/>
        <v>0</v>
      </c>
      <c r="S28" s="591" t="s">
        <v>1840</v>
      </c>
      <c r="T28" s="591">
        <v>2012</v>
      </c>
      <c r="U28" s="591" t="s">
        <v>76</v>
      </c>
      <c r="V28">
        <f>Q8_RetainedEarn_2012</f>
        <v>0</v>
      </c>
    </row>
    <row r="29" spans="1:22">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2"/>
        <v>0</v>
      </c>
      <c r="R29">
        <f t="shared" si="3"/>
        <v>0</v>
      </c>
      <c r="S29" s="591" t="s">
        <v>1840</v>
      </c>
      <c r="T29" s="591">
        <v>2012</v>
      </c>
      <c r="U29" s="591" t="s">
        <v>78</v>
      </c>
      <c r="V29">
        <f>Q8_OwnersEq_2012</f>
        <v>0</v>
      </c>
    </row>
    <row r="30" spans="1:22">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f t="shared" si="2"/>
        <v>0</v>
      </c>
      <c r="R30">
        <f t="shared" si="3"/>
        <v>0</v>
      </c>
      <c r="S30" s="591" t="s">
        <v>1840</v>
      </c>
      <c r="T30" s="591">
        <v>2013</v>
      </c>
      <c r="U30" s="591" t="s">
        <v>70</v>
      </c>
      <c r="V30">
        <f>Q8_Cash_2013</f>
        <v>0</v>
      </c>
    </row>
    <row r="31" spans="1:22">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f t="shared" si="2"/>
        <v>0</v>
      </c>
      <c r="R31">
        <f t="shared" si="3"/>
        <v>0</v>
      </c>
      <c r="S31" s="591" t="s">
        <v>1840</v>
      </c>
      <c r="T31" s="591">
        <v>2013</v>
      </c>
      <c r="U31" s="591" t="s">
        <v>71</v>
      </c>
      <c r="V31">
        <f>Q8_Inv_2013</f>
        <v>0</v>
      </c>
    </row>
    <row r="32" spans="1:22">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f t="shared" si="2"/>
        <v>0</v>
      </c>
      <c r="R32">
        <f t="shared" si="3"/>
        <v>0</v>
      </c>
      <c r="S32" s="591" t="s">
        <v>1840</v>
      </c>
      <c r="T32" s="591">
        <v>2013</v>
      </c>
      <c r="U32" s="591" t="s">
        <v>1841</v>
      </c>
      <c r="V32">
        <f>Q8_CurrentAssets_2013</f>
        <v>0</v>
      </c>
    </row>
    <row r="33" spans="1:22">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f t="shared" si="2"/>
        <v>0</v>
      </c>
      <c r="R33">
        <f t="shared" si="3"/>
        <v>0</v>
      </c>
      <c r="S33" s="591" t="s">
        <v>1840</v>
      </c>
      <c r="T33" s="591">
        <v>2013</v>
      </c>
      <c r="U33" s="591" t="s">
        <v>73</v>
      </c>
      <c r="V33">
        <f>Q8_TotalAssets_2013</f>
        <v>0</v>
      </c>
    </row>
    <row r="34" spans="1:22">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f t="shared" si="2"/>
        <v>0</v>
      </c>
      <c r="R34">
        <f t="shared" si="3"/>
        <v>0</v>
      </c>
      <c r="S34" s="591" t="s">
        <v>1840</v>
      </c>
      <c r="T34" s="591">
        <v>2013</v>
      </c>
      <c r="U34" s="591" t="s">
        <v>1842</v>
      </c>
      <c r="V34">
        <f>Q8_CurrentLiab_2013</f>
        <v>0</v>
      </c>
    </row>
    <row r="35" spans="1:22">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f t="shared" si="2"/>
        <v>0</v>
      </c>
      <c r="R35">
        <f t="shared" si="3"/>
        <v>0</v>
      </c>
      <c r="S35" s="591" t="s">
        <v>1840</v>
      </c>
      <c r="T35" s="591">
        <v>2013</v>
      </c>
      <c r="U35" s="591" t="s">
        <v>75</v>
      </c>
      <c r="V35">
        <f>Q8_TotalLiab_2013</f>
        <v>0</v>
      </c>
    </row>
    <row r="36" spans="1:22">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f t="shared" si="2"/>
        <v>0</v>
      </c>
      <c r="R36">
        <f t="shared" si="3"/>
        <v>0</v>
      </c>
      <c r="S36" s="591" t="s">
        <v>1840</v>
      </c>
      <c r="T36" s="591">
        <v>2013</v>
      </c>
      <c r="U36" s="591" t="s">
        <v>76</v>
      </c>
      <c r="V36">
        <f>Q8_RetainedEarn_2013</f>
        <v>0</v>
      </c>
    </row>
    <row r="37" spans="1:22">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f t="shared" si="2"/>
        <v>0</v>
      </c>
      <c r="R37">
        <f t="shared" si="3"/>
        <v>0</v>
      </c>
      <c r="S37" s="591" t="s">
        <v>1840</v>
      </c>
      <c r="T37" s="591">
        <v>2013</v>
      </c>
      <c r="U37" s="591" t="s">
        <v>78</v>
      </c>
      <c r="V37">
        <f>Q8_OwnersEq_2013</f>
        <v>0</v>
      </c>
    </row>
    <row r="38" spans="1:22">
      <c r="A38">
        <f>'D-RP-1'!A$2</f>
        <v>0</v>
      </c>
      <c r="B38">
        <f>'D-RP-1'!B$2</f>
        <v>0</v>
      </c>
      <c r="C38">
        <f>'D-RP-1'!C$2</f>
        <v>0</v>
      </c>
      <c r="D38">
        <f>'D-RP-1'!D$2</f>
        <v>0</v>
      </c>
      <c r="E38">
        <f>'D-RP-1'!E$2</f>
        <v>0</v>
      </c>
      <c r="F38">
        <f>'D-RP-1'!F$2</f>
        <v>0</v>
      </c>
      <c r="G38">
        <f>'D-RP-1'!G$2</f>
        <v>0</v>
      </c>
      <c r="H38">
        <f>'D-RP-1'!H$2</f>
        <v>0</v>
      </c>
      <c r="I38">
        <f>'D-RP-1'!I$2</f>
        <v>0</v>
      </c>
      <c r="J38">
        <f>'D-RP-1'!J$2</f>
        <v>0</v>
      </c>
      <c r="K38">
        <f>'D-RP-1'!K$2</f>
        <v>0</v>
      </c>
      <c r="L38" t="str">
        <f>'D-RP-1'!L$2</f>
        <v>No Sales</v>
      </c>
      <c r="M38">
        <f>'D-RP-1'!M$2</f>
        <v>0</v>
      </c>
      <c r="N38" t="str">
        <f>'D-RP-1'!N$2</f>
        <v>Insufficient Data</v>
      </c>
      <c r="O38" t="str">
        <f>'D-RP-1'!O$2</f>
        <v>Insufficient Data</v>
      </c>
      <c r="P38" t="str">
        <f>'D-RP-1'!P$2</f>
        <v>Uncalculated</v>
      </c>
      <c r="Q38">
        <f t="shared" si="2"/>
        <v>0</v>
      </c>
      <c r="R38">
        <f t="shared" si="3"/>
        <v>0</v>
      </c>
      <c r="S38" s="591" t="s">
        <v>1840</v>
      </c>
      <c r="T38" s="591">
        <v>2014</v>
      </c>
      <c r="U38" s="591" t="s">
        <v>70</v>
      </c>
      <c r="V38">
        <f>Q8_Cash_2014</f>
        <v>0</v>
      </c>
    </row>
    <row r="39" spans="1:22">
      <c r="A39">
        <f>'D-RP-1'!A$2</f>
        <v>0</v>
      </c>
      <c r="B39">
        <f>'D-RP-1'!B$2</f>
        <v>0</v>
      </c>
      <c r="C39">
        <f>'D-RP-1'!C$2</f>
        <v>0</v>
      </c>
      <c r="D39">
        <f>'D-RP-1'!D$2</f>
        <v>0</v>
      </c>
      <c r="E39">
        <f>'D-RP-1'!E$2</f>
        <v>0</v>
      </c>
      <c r="F39">
        <f>'D-RP-1'!F$2</f>
        <v>0</v>
      </c>
      <c r="G39">
        <f>'D-RP-1'!G$2</f>
        <v>0</v>
      </c>
      <c r="H39">
        <f>'D-RP-1'!H$2</f>
        <v>0</v>
      </c>
      <c r="I39">
        <f>'D-RP-1'!I$2</f>
        <v>0</v>
      </c>
      <c r="J39">
        <f>'D-RP-1'!J$2</f>
        <v>0</v>
      </c>
      <c r="K39">
        <f>'D-RP-1'!K$2</f>
        <v>0</v>
      </c>
      <c r="L39" t="str">
        <f>'D-RP-1'!L$2</f>
        <v>No Sales</v>
      </c>
      <c r="M39">
        <f>'D-RP-1'!M$2</f>
        <v>0</v>
      </c>
      <c r="N39" t="str">
        <f>'D-RP-1'!N$2</f>
        <v>Insufficient Data</v>
      </c>
      <c r="O39" t="str">
        <f>'D-RP-1'!O$2</f>
        <v>Insufficient Data</v>
      </c>
      <c r="P39" t="str">
        <f>'D-RP-1'!P$2</f>
        <v>Uncalculated</v>
      </c>
      <c r="Q39">
        <f t="shared" si="2"/>
        <v>0</v>
      </c>
      <c r="R39">
        <f t="shared" si="3"/>
        <v>0</v>
      </c>
      <c r="S39" s="591" t="s">
        <v>1840</v>
      </c>
      <c r="T39" s="591">
        <v>2014</v>
      </c>
      <c r="U39" s="591" t="s">
        <v>71</v>
      </c>
      <c r="V39">
        <f>Q8_Inv_2014</f>
        <v>0</v>
      </c>
    </row>
    <row r="40" spans="1:22">
      <c r="A40">
        <f>'D-RP-1'!A$2</f>
        <v>0</v>
      </c>
      <c r="B40">
        <f>'D-RP-1'!B$2</f>
        <v>0</v>
      </c>
      <c r="C40">
        <f>'D-RP-1'!C$2</f>
        <v>0</v>
      </c>
      <c r="D40">
        <f>'D-RP-1'!D$2</f>
        <v>0</v>
      </c>
      <c r="E40">
        <f>'D-RP-1'!E$2</f>
        <v>0</v>
      </c>
      <c r="F40">
        <f>'D-RP-1'!F$2</f>
        <v>0</v>
      </c>
      <c r="G40">
        <f>'D-RP-1'!G$2</f>
        <v>0</v>
      </c>
      <c r="H40">
        <f>'D-RP-1'!H$2</f>
        <v>0</v>
      </c>
      <c r="I40">
        <f>'D-RP-1'!I$2</f>
        <v>0</v>
      </c>
      <c r="J40">
        <f>'D-RP-1'!J$2</f>
        <v>0</v>
      </c>
      <c r="K40">
        <f>'D-RP-1'!K$2</f>
        <v>0</v>
      </c>
      <c r="L40" t="str">
        <f>'D-RP-1'!L$2</f>
        <v>No Sales</v>
      </c>
      <c r="M40">
        <f>'D-RP-1'!M$2</f>
        <v>0</v>
      </c>
      <c r="N40" t="str">
        <f>'D-RP-1'!N$2</f>
        <v>Insufficient Data</v>
      </c>
      <c r="O40" t="str">
        <f>'D-RP-1'!O$2</f>
        <v>Insufficient Data</v>
      </c>
      <c r="P40" t="str">
        <f>'D-RP-1'!P$2</f>
        <v>Uncalculated</v>
      </c>
      <c r="Q40">
        <f t="shared" si="2"/>
        <v>0</v>
      </c>
      <c r="R40">
        <f t="shared" si="3"/>
        <v>0</v>
      </c>
      <c r="S40" s="591" t="s">
        <v>1840</v>
      </c>
      <c r="T40" s="591">
        <v>2014</v>
      </c>
      <c r="U40" s="591" t="s">
        <v>1841</v>
      </c>
      <c r="V40">
        <f>Q8_CurrentAssets_2014</f>
        <v>0</v>
      </c>
    </row>
    <row r="41" spans="1:22">
      <c r="A41">
        <f>'D-RP-1'!A$2</f>
        <v>0</v>
      </c>
      <c r="B41">
        <f>'D-RP-1'!B$2</f>
        <v>0</v>
      </c>
      <c r="C41">
        <f>'D-RP-1'!C$2</f>
        <v>0</v>
      </c>
      <c r="D41">
        <f>'D-RP-1'!D$2</f>
        <v>0</v>
      </c>
      <c r="E41">
        <f>'D-RP-1'!E$2</f>
        <v>0</v>
      </c>
      <c r="F41">
        <f>'D-RP-1'!F$2</f>
        <v>0</v>
      </c>
      <c r="G41">
        <f>'D-RP-1'!G$2</f>
        <v>0</v>
      </c>
      <c r="H41">
        <f>'D-RP-1'!H$2</f>
        <v>0</v>
      </c>
      <c r="I41">
        <f>'D-RP-1'!I$2</f>
        <v>0</v>
      </c>
      <c r="J41">
        <f>'D-RP-1'!J$2</f>
        <v>0</v>
      </c>
      <c r="K41">
        <f>'D-RP-1'!K$2</f>
        <v>0</v>
      </c>
      <c r="L41" t="str">
        <f>'D-RP-1'!L$2</f>
        <v>No Sales</v>
      </c>
      <c r="M41">
        <f>'D-RP-1'!M$2</f>
        <v>0</v>
      </c>
      <c r="N41" t="str">
        <f>'D-RP-1'!N$2</f>
        <v>Insufficient Data</v>
      </c>
      <c r="O41" t="str">
        <f>'D-RP-1'!O$2</f>
        <v>Insufficient Data</v>
      </c>
      <c r="P41" t="str">
        <f>'D-RP-1'!P$2</f>
        <v>Uncalculated</v>
      </c>
      <c r="Q41">
        <f t="shared" si="2"/>
        <v>0</v>
      </c>
      <c r="R41">
        <f t="shared" si="3"/>
        <v>0</v>
      </c>
      <c r="S41" s="591" t="s">
        <v>1840</v>
      </c>
      <c r="T41" s="591">
        <v>2014</v>
      </c>
      <c r="U41" s="591" t="s">
        <v>73</v>
      </c>
      <c r="V41">
        <f>Q8_TotalAssets_2014</f>
        <v>0</v>
      </c>
    </row>
    <row r="42" spans="1:22">
      <c r="A42">
        <f>'D-RP-1'!A$2</f>
        <v>0</v>
      </c>
      <c r="B42">
        <f>'D-RP-1'!B$2</f>
        <v>0</v>
      </c>
      <c r="C42">
        <f>'D-RP-1'!C$2</f>
        <v>0</v>
      </c>
      <c r="D42">
        <f>'D-RP-1'!D$2</f>
        <v>0</v>
      </c>
      <c r="E42">
        <f>'D-RP-1'!E$2</f>
        <v>0</v>
      </c>
      <c r="F42">
        <f>'D-RP-1'!F$2</f>
        <v>0</v>
      </c>
      <c r="G42">
        <f>'D-RP-1'!G$2</f>
        <v>0</v>
      </c>
      <c r="H42">
        <f>'D-RP-1'!H$2</f>
        <v>0</v>
      </c>
      <c r="I42">
        <f>'D-RP-1'!I$2</f>
        <v>0</v>
      </c>
      <c r="J42">
        <f>'D-RP-1'!J$2</f>
        <v>0</v>
      </c>
      <c r="K42">
        <f>'D-RP-1'!K$2</f>
        <v>0</v>
      </c>
      <c r="L42" t="str">
        <f>'D-RP-1'!L$2</f>
        <v>No Sales</v>
      </c>
      <c r="M42">
        <f>'D-RP-1'!M$2</f>
        <v>0</v>
      </c>
      <c r="N42" t="str">
        <f>'D-RP-1'!N$2</f>
        <v>Insufficient Data</v>
      </c>
      <c r="O42" t="str">
        <f>'D-RP-1'!O$2</f>
        <v>Insufficient Data</v>
      </c>
      <c r="P42" t="str">
        <f>'D-RP-1'!P$2</f>
        <v>Uncalculated</v>
      </c>
      <c r="Q42">
        <f t="shared" si="2"/>
        <v>0</v>
      </c>
      <c r="R42">
        <f t="shared" si="3"/>
        <v>0</v>
      </c>
      <c r="S42" s="591" t="s">
        <v>1840</v>
      </c>
      <c r="T42" s="591">
        <v>2014</v>
      </c>
      <c r="U42" s="591" t="s">
        <v>1842</v>
      </c>
      <c r="V42">
        <f>Q8_CurrentLiab_2014</f>
        <v>0</v>
      </c>
    </row>
    <row r="43" spans="1:22">
      <c r="A43">
        <f>'D-RP-1'!A$2</f>
        <v>0</v>
      </c>
      <c r="B43">
        <f>'D-RP-1'!B$2</f>
        <v>0</v>
      </c>
      <c r="C43">
        <f>'D-RP-1'!C$2</f>
        <v>0</v>
      </c>
      <c r="D43">
        <f>'D-RP-1'!D$2</f>
        <v>0</v>
      </c>
      <c r="E43">
        <f>'D-RP-1'!E$2</f>
        <v>0</v>
      </c>
      <c r="F43">
        <f>'D-RP-1'!F$2</f>
        <v>0</v>
      </c>
      <c r="G43">
        <f>'D-RP-1'!G$2</f>
        <v>0</v>
      </c>
      <c r="H43">
        <f>'D-RP-1'!H$2</f>
        <v>0</v>
      </c>
      <c r="I43">
        <f>'D-RP-1'!I$2</f>
        <v>0</v>
      </c>
      <c r="J43">
        <f>'D-RP-1'!J$2</f>
        <v>0</v>
      </c>
      <c r="K43">
        <f>'D-RP-1'!K$2</f>
        <v>0</v>
      </c>
      <c r="L43" t="str">
        <f>'D-RP-1'!L$2</f>
        <v>No Sales</v>
      </c>
      <c r="M43">
        <f>'D-RP-1'!M$2</f>
        <v>0</v>
      </c>
      <c r="N43" t="str">
        <f>'D-RP-1'!N$2</f>
        <v>Insufficient Data</v>
      </c>
      <c r="O43" t="str">
        <f>'D-RP-1'!O$2</f>
        <v>Insufficient Data</v>
      </c>
      <c r="P43" t="str">
        <f>'D-RP-1'!P$2</f>
        <v>Uncalculated</v>
      </c>
      <c r="Q43">
        <f t="shared" si="2"/>
        <v>0</v>
      </c>
      <c r="R43">
        <f t="shared" si="3"/>
        <v>0</v>
      </c>
      <c r="S43" s="591" t="s">
        <v>1840</v>
      </c>
      <c r="T43" s="591">
        <v>2014</v>
      </c>
      <c r="U43" s="591" t="s">
        <v>75</v>
      </c>
      <c r="V43">
        <f>Q8_TotalLiab_2014</f>
        <v>0</v>
      </c>
    </row>
    <row r="44" spans="1:22">
      <c r="A44">
        <f>'D-RP-1'!A$2</f>
        <v>0</v>
      </c>
      <c r="B44">
        <f>'D-RP-1'!B$2</f>
        <v>0</v>
      </c>
      <c r="C44">
        <f>'D-RP-1'!C$2</f>
        <v>0</v>
      </c>
      <c r="D44">
        <f>'D-RP-1'!D$2</f>
        <v>0</v>
      </c>
      <c r="E44">
        <f>'D-RP-1'!E$2</f>
        <v>0</v>
      </c>
      <c r="F44">
        <f>'D-RP-1'!F$2</f>
        <v>0</v>
      </c>
      <c r="G44">
        <f>'D-RP-1'!G$2</f>
        <v>0</v>
      </c>
      <c r="H44">
        <f>'D-RP-1'!H$2</f>
        <v>0</v>
      </c>
      <c r="I44">
        <f>'D-RP-1'!I$2</f>
        <v>0</v>
      </c>
      <c r="J44">
        <f>'D-RP-1'!J$2</f>
        <v>0</v>
      </c>
      <c r="K44">
        <f>'D-RP-1'!K$2</f>
        <v>0</v>
      </c>
      <c r="L44" t="str">
        <f>'D-RP-1'!L$2</f>
        <v>No Sales</v>
      </c>
      <c r="M44">
        <f>'D-RP-1'!M$2</f>
        <v>0</v>
      </c>
      <c r="N44" t="str">
        <f>'D-RP-1'!N$2</f>
        <v>Insufficient Data</v>
      </c>
      <c r="O44" t="str">
        <f>'D-RP-1'!O$2</f>
        <v>Insufficient Data</v>
      </c>
      <c r="P44" t="str">
        <f>'D-RP-1'!P$2</f>
        <v>Uncalculated</v>
      </c>
      <c r="Q44">
        <f t="shared" si="2"/>
        <v>0</v>
      </c>
      <c r="R44">
        <f t="shared" si="3"/>
        <v>0</v>
      </c>
      <c r="S44" s="591" t="s">
        <v>1840</v>
      </c>
      <c r="T44" s="591">
        <v>2014</v>
      </c>
      <c r="U44" s="591" t="s">
        <v>76</v>
      </c>
      <c r="V44">
        <f>Q8_RetainedEarn_2014</f>
        <v>0</v>
      </c>
    </row>
    <row r="45" spans="1:22">
      <c r="A45">
        <f>'D-RP-1'!A$2</f>
        <v>0</v>
      </c>
      <c r="B45">
        <f>'D-RP-1'!B$2</f>
        <v>0</v>
      </c>
      <c r="C45">
        <f>'D-RP-1'!C$2</f>
        <v>0</v>
      </c>
      <c r="D45">
        <f>'D-RP-1'!D$2</f>
        <v>0</v>
      </c>
      <c r="E45">
        <f>'D-RP-1'!E$2</f>
        <v>0</v>
      </c>
      <c r="F45">
        <f>'D-RP-1'!F$2</f>
        <v>0</v>
      </c>
      <c r="G45">
        <f>'D-RP-1'!G$2</f>
        <v>0</v>
      </c>
      <c r="H45">
        <f>'D-RP-1'!H$2</f>
        <v>0</v>
      </c>
      <c r="I45">
        <f>'D-RP-1'!I$2</f>
        <v>0</v>
      </c>
      <c r="J45">
        <f>'D-RP-1'!J$2</f>
        <v>0</v>
      </c>
      <c r="K45">
        <f>'D-RP-1'!K$2</f>
        <v>0</v>
      </c>
      <c r="L45" t="str">
        <f>'D-RP-1'!L$2</f>
        <v>No Sales</v>
      </c>
      <c r="M45">
        <f>'D-RP-1'!M$2</f>
        <v>0</v>
      </c>
      <c r="N45" t="str">
        <f>'D-RP-1'!N$2</f>
        <v>Insufficient Data</v>
      </c>
      <c r="O45" t="str">
        <f>'D-RP-1'!O$2</f>
        <v>Insufficient Data</v>
      </c>
      <c r="P45" t="str">
        <f>'D-RP-1'!P$2</f>
        <v>Uncalculated</v>
      </c>
      <c r="Q45">
        <f t="shared" si="2"/>
        <v>0</v>
      </c>
      <c r="R45">
        <f t="shared" si="3"/>
        <v>0</v>
      </c>
      <c r="S45" s="591" t="s">
        <v>1840</v>
      </c>
      <c r="T45" s="591">
        <v>2014</v>
      </c>
      <c r="U45" s="591" t="s">
        <v>78</v>
      </c>
      <c r="V45">
        <f>Q8_OwnersEq_2014</f>
        <v>0</v>
      </c>
    </row>
    <row r="46" spans="1:22">
      <c r="A46">
        <f>'D-RP-1'!A$2</f>
        <v>0</v>
      </c>
      <c r="B46">
        <f>'D-RP-1'!B$2</f>
        <v>0</v>
      </c>
      <c r="C46">
        <f>'D-RP-1'!C$2</f>
        <v>0</v>
      </c>
      <c r="D46">
        <f>'D-RP-1'!D$2</f>
        <v>0</v>
      </c>
      <c r="E46">
        <f>'D-RP-1'!E$2</f>
        <v>0</v>
      </c>
      <c r="F46">
        <f>'D-RP-1'!F$2</f>
        <v>0</v>
      </c>
      <c r="G46">
        <f>'D-RP-1'!G$2</f>
        <v>0</v>
      </c>
      <c r="H46">
        <f>'D-RP-1'!H$2</f>
        <v>0</v>
      </c>
      <c r="I46">
        <f>'D-RP-1'!I$2</f>
        <v>0</v>
      </c>
      <c r="J46">
        <f>'D-RP-1'!J$2</f>
        <v>0</v>
      </c>
      <c r="K46">
        <f>'D-RP-1'!K$2</f>
        <v>0</v>
      </c>
      <c r="L46" t="str">
        <f>'D-RP-1'!L$2</f>
        <v>No Sales</v>
      </c>
      <c r="M46">
        <f>'D-RP-1'!M$2</f>
        <v>0</v>
      </c>
      <c r="N46" t="str">
        <f>'D-RP-1'!N$2</f>
        <v>Insufficient Data</v>
      </c>
      <c r="O46" t="str">
        <f>'D-RP-1'!O$2</f>
        <v>Insufficient Data</v>
      </c>
      <c r="P46" t="str">
        <f>'D-RP-1'!P$2</f>
        <v>Uncalculated</v>
      </c>
      <c r="Q46">
        <f t="shared" si="2"/>
        <v>0</v>
      </c>
      <c r="R46">
        <f t="shared" si="3"/>
        <v>0</v>
      </c>
      <c r="S46" s="591" t="s">
        <v>1840</v>
      </c>
      <c r="T46" s="591">
        <v>2015</v>
      </c>
      <c r="U46" s="591" t="s">
        <v>70</v>
      </c>
      <c r="V46">
        <f>Q8_Cash_2015</f>
        <v>0</v>
      </c>
    </row>
    <row r="47" spans="1:22">
      <c r="A47">
        <f>'D-RP-1'!A$2</f>
        <v>0</v>
      </c>
      <c r="B47">
        <f>'D-RP-1'!B$2</f>
        <v>0</v>
      </c>
      <c r="C47">
        <f>'D-RP-1'!C$2</f>
        <v>0</v>
      </c>
      <c r="D47">
        <f>'D-RP-1'!D$2</f>
        <v>0</v>
      </c>
      <c r="E47">
        <f>'D-RP-1'!E$2</f>
        <v>0</v>
      </c>
      <c r="F47">
        <f>'D-RP-1'!F$2</f>
        <v>0</v>
      </c>
      <c r="G47">
        <f>'D-RP-1'!G$2</f>
        <v>0</v>
      </c>
      <c r="H47">
        <f>'D-RP-1'!H$2</f>
        <v>0</v>
      </c>
      <c r="I47">
        <f>'D-RP-1'!I$2</f>
        <v>0</v>
      </c>
      <c r="J47">
        <f>'D-RP-1'!J$2</f>
        <v>0</v>
      </c>
      <c r="K47">
        <f>'D-RP-1'!K$2</f>
        <v>0</v>
      </c>
      <c r="L47" t="str">
        <f>'D-RP-1'!L$2</f>
        <v>No Sales</v>
      </c>
      <c r="M47">
        <f>'D-RP-1'!M$2</f>
        <v>0</v>
      </c>
      <c r="N47" t="str">
        <f>'D-RP-1'!N$2</f>
        <v>Insufficient Data</v>
      </c>
      <c r="O47" t="str">
        <f>'D-RP-1'!O$2</f>
        <v>Insufficient Data</v>
      </c>
      <c r="P47" t="str">
        <f>'D-RP-1'!P$2</f>
        <v>Uncalculated</v>
      </c>
      <c r="Q47">
        <f t="shared" si="2"/>
        <v>0</v>
      </c>
      <c r="R47">
        <f t="shared" si="3"/>
        <v>0</v>
      </c>
      <c r="S47" s="591" t="s">
        <v>1840</v>
      </c>
      <c r="T47" s="591">
        <v>2015</v>
      </c>
      <c r="U47" s="591" t="s">
        <v>71</v>
      </c>
      <c r="V47">
        <f>Q8_Inv_2015</f>
        <v>0</v>
      </c>
    </row>
    <row r="48" spans="1:22">
      <c r="A48">
        <f>'D-RP-1'!A$2</f>
        <v>0</v>
      </c>
      <c r="B48">
        <f>'D-RP-1'!B$2</f>
        <v>0</v>
      </c>
      <c r="C48">
        <f>'D-RP-1'!C$2</f>
        <v>0</v>
      </c>
      <c r="D48">
        <f>'D-RP-1'!D$2</f>
        <v>0</v>
      </c>
      <c r="E48">
        <f>'D-RP-1'!E$2</f>
        <v>0</v>
      </c>
      <c r="F48">
        <f>'D-RP-1'!F$2</f>
        <v>0</v>
      </c>
      <c r="G48">
        <f>'D-RP-1'!G$2</f>
        <v>0</v>
      </c>
      <c r="H48">
        <f>'D-RP-1'!H$2</f>
        <v>0</v>
      </c>
      <c r="I48">
        <f>'D-RP-1'!I$2</f>
        <v>0</v>
      </c>
      <c r="J48">
        <f>'D-RP-1'!J$2</f>
        <v>0</v>
      </c>
      <c r="K48">
        <f>'D-RP-1'!K$2</f>
        <v>0</v>
      </c>
      <c r="L48" t="str">
        <f>'D-RP-1'!L$2</f>
        <v>No Sales</v>
      </c>
      <c r="M48">
        <f>'D-RP-1'!M$2</f>
        <v>0</v>
      </c>
      <c r="N48" t="str">
        <f>'D-RP-1'!N$2</f>
        <v>Insufficient Data</v>
      </c>
      <c r="O48" t="str">
        <f>'D-RP-1'!O$2</f>
        <v>Insufficient Data</v>
      </c>
      <c r="P48" t="str">
        <f>'D-RP-1'!P$2</f>
        <v>Uncalculated</v>
      </c>
      <c r="Q48">
        <f t="shared" si="2"/>
        <v>0</v>
      </c>
      <c r="R48">
        <f t="shared" si="3"/>
        <v>0</v>
      </c>
      <c r="S48" s="591" t="s">
        <v>1840</v>
      </c>
      <c r="T48" s="591">
        <v>2015</v>
      </c>
      <c r="U48" s="591" t="s">
        <v>1841</v>
      </c>
      <c r="V48">
        <f>Q8_CurrentAssets_2015</f>
        <v>0</v>
      </c>
    </row>
    <row r="49" spans="1:22">
      <c r="A49">
        <f>'D-RP-1'!A$2</f>
        <v>0</v>
      </c>
      <c r="B49">
        <f>'D-RP-1'!B$2</f>
        <v>0</v>
      </c>
      <c r="C49">
        <f>'D-RP-1'!C$2</f>
        <v>0</v>
      </c>
      <c r="D49">
        <f>'D-RP-1'!D$2</f>
        <v>0</v>
      </c>
      <c r="E49">
        <f>'D-RP-1'!E$2</f>
        <v>0</v>
      </c>
      <c r="F49">
        <f>'D-RP-1'!F$2</f>
        <v>0</v>
      </c>
      <c r="G49">
        <f>'D-RP-1'!G$2</f>
        <v>0</v>
      </c>
      <c r="H49">
        <f>'D-RP-1'!H$2</f>
        <v>0</v>
      </c>
      <c r="I49">
        <f>'D-RP-1'!I$2</f>
        <v>0</v>
      </c>
      <c r="J49">
        <f>'D-RP-1'!J$2</f>
        <v>0</v>
      </c>
      <c r="K49">
        <f>'D-RP-1'!K$2</f>
        <v>0</v>
      </c>
      <c r="L49" t="str">
        <f>'D-RP-1'!L$2</f>
        <v>No Sales</v>
      </c>
      <c r="M49">
        <f>'D-RP-1'!M$2</f>
        <v>0</v>
      </c>
      <c r="N49" t="str">
        <f>'D-RP-1'!N$2</f>
        <v>Insufficient Data</v>
      </c>
      <c r="O49" t="str">
        <f>'D-RP-1'!O$2</f>
        <v>Insufficient Data</v>
      </c>
      <c r="P49" t="str">
        <f>'D-RP-1'!P$2</f>
        <v>Uncalculated</v>
      </c>
      <c r="Q49">
        <f t="shared" si="2"/>
        <v>0</v>
      </c>
      <c r="R49">
        <f t="shared" si="3"/>
        <v>0</v>
      </c>
      <c r="S49" s="591" t="s">
        <v>1840</v>
      </c>
      <c r="T49" s="591">
        <v>2015</v>
      </c>
      <c r="U49" s="591" t="s">
        <v>73</v>
      </c>
      <c r="V49">
        <f>Q8_TotalAssets_2015</f>
        <v>0</v>
      </c>
    </row>
    <row r="50" spans="1:22">
      <c r="A50">
        <f>'D-RP-1'!A$2</f>
        <v>0</v>
      </c>
      <c r="B50">
        <f>'D-RP-1'!B$2</f>
        <v>0</v>
      </c>
      <c r="C50">
        <f>'D-RP-1'!C$2</f>
        <v>0</v>
      </c>
      <c r="D50">
        <f>'D-RP-1'!D$2</f>
        <v>0</v>
      </c>
      <c r="E50">
        <f>'D-RP-1'!E$2</f>
        <v>0</v>
      </c>
      <c r="F50">
        <f>'D-RP-1'!F$2</f>
        <v>0</v>
      </c>
      <c r="G50">
        <f>'D-RP-1'!G$2</f>
        <v>0</v>
      </c>
      <c r="H50">
        <f>'D-RP-1'!H$2</f>
        <v>0</v>
      </c>
      <c r="I50">
        <f>'D-RP-1'!I$2</f>
        <v>0</v>
      </c>
      <c r="J50">
        <f>'D-RP-1'!J$2</f>
        <v>0</v>
      </c>
      <c r="K50">
        <f>'D-RP-1'!K$2</f>
        <v>0</v>
      </c>
      <c r="L50" t="str">
        <f>'D-RP-1'!L$2</f>
        <v>No Sales</v>
      </c>
      <c r="M50">
        <f>'D-RP-1'!M$2</f>
        <v>0</v>
      </c>
      <c r="N50" t="str">
        <f>'D-RP-1'!N$2</f>
        <v>Insufficient Data</v>
      </c>
      <c r="O50" t="str">
        <f>'D-RP-1'!O$2</f>
        <v>Insufficient Data</v>
      </c>
      <c r="P50" t="str">
        <f>'D-RP-1'!P$2</f>
        <v>Uncalculated</v>
      </c>
      <c r="Q50">
        <f t="shared" si="2"/>
        <v>0</v>
      </c>
      <c r="R50">
        <f t="shared" si="3"/>
        <v>0</v>
      </c>
      <c r="S50" s="591" t="s">
        <v>1840</v>
      </c>
      <c r="T50" s="591">
        <v>2015</v>
      </c>
      <c r="U50" s="591" t="s">
        <v>1842</v>
      </c>
      <c r="V50">
        <f>Q8_CurrentLiab_2015</f>
        <v>0</v>
      </c>
    </row>
    <row r="51" spans="1:22">
      <c r="A51">
        <f>'D-RP-1'!A$2</f>
        <v>0</v>
      </c>
      <c r="B51">
        <f>'D-RP-1'!B$2</f>
        <v>0</v>
      </c>
      <c r="C51">
        <f>'D-RP-1'!C$2</f>
        <v>0</v>
      </c>
      <c r="D51">
        <f>'D-RP-1'!D$2</f>
        <v>0</v>
      </c>
      <c r="E51">
        <f>'D-RP-1'!E$2</f>
        <v>0</v>
      </c>
      <c r="F51">
        <f>'D-RP-1'!F$2</f>
        <v>0</v>
      </c>
      <c r="G51">
        <f>'D-RP-1'!G$2</f>
        <v>0</v>
      </c>
      <c r="H51">
        <f>'D-RP-1'!H$2</f>
        <v>0</v>
      </c>
      <c r="I51">
        <f>'D-RP-1'!I$2</f>
        <v>0</v>
      </c>
      <c r="J51">
        <f>'D-RP-1'!J$2</f>
        <v>0</v>
      </c>
      <c r="K51">
        <f>'D-RP-1'!K$2</f>
        <v>0</v>
      </c>
      <c r="L51" t="str">
        <f>'D-RP-1'!L$2</f>
        <v>No Sales</v>
      </c>
      <c r="M51">
        <f>'D-RP-1'!M$2</f>
        <v>0</v>
      </c>
      <c r="N51" t="str">
        <f>'D-RP-1'!N$2</f>
        <v>Insufficient Data</v>
      </c>
      <c r="O51" t="str">
        <f>'D-RP-1'!O$2</f>
        <v>Insufficient Data</v>
      </c>
      <c r="P51" t="str">
        <f>'D-RP-1'!P$2</f>
        <v>Uncalculated</v>
      </c>
      <c r="Q51">
        <f t="shared" si="2"/>
        <v>0</v>
      </c>
      <c r="R51">
        <f t="shared" si="3"/>
        <v>0</v>
      </c>
      <c r="S51" s="591" t="s">
        <v>1840</v>
      </c>
      <c r="T51" s="591">
        <v>2015</v>
      </c>
      <c r="U51" s="591" t="s">
        <v>75</v>
      </c>
      <c r="V51">
        <f>Q8_TotalLiab_2015</f>
        <v>0</v>
      </c>
    </row>
    <row r="52" spans="1:22">
      <c r="A52">
        <f>'D-RP-1'!A$2</f>
        <v>0</v>
      </c>
      <c r="B52">
        <f>'D-RP-1'!B$2</f>
        <v>0</v>
      </c>
      <c r="C52">
        <f>'D-RP-1'!C$2</f>
        <v>0</v>
      </c>
      <c r="D52">
        <f>'D-RP-1'!D$2</f>
        <v>0</v>
      </c>
      <c r="E52">
        <f>'D-RP-1'!E$2</f>
        <v>0</v>
      </c>
      <c r="F52">
        <f>'D-RP-1'!F$2</f>
        <v>0</v>
      </c>
      <c r="G52">
        <f>'D-RP-1'!G$2</f>
        <v>0</v>
      </c>
      <c r="H52">
        <f>'D-RP-1'!H$2</f>
        <v>0</v>
      </c>
      <c r="I52">
        <f>'D-RP-1'!I$2</f>
        <v>0</v>
      </c>
      <c r="J52">
        <f>'D-RP-1'!J$2</f>
        <v>0</v>
      </c>
      <c r="K52">
        <f>'D-RP-1'!K$2</f>
        <v>0</v>
      </c>
      <c r="L52" t="str">
        <f>'D-RP-1'!L$2</f>
        <v>No Sales</v>
      </c>
      <c r="M52">
        <f>'D-RP-1'!M$2</f>
        <v>0</v>
      </c>
      <c r="N52" t="str">
        <f>'D-RP-1'!N$2</f>
        <v>Insufficient Data</v>
      </c>
      <c r="O52" t="str">
        <f>'D-RP-1'!O$2</f>
        <v>Insufficient Data</v>
      </c>
      <c r="P52" t="str">
        <f>'D-RP-1'!P$2</f>
        <v>Uncalculated</v>
      </c>
      <c r="Q52">
        <f t="shared" si="2"/>
        <v>0</v>
      </c>
      <c r="R52">
        <f t="shared" si="3"/>
        <v>0</v>
      </c>
      <c r="S52" s="591" t="s">
        <v>1840</v>
      </c>
      <c r="T52" s="591">
        <v>2015</v>
      </c>
      <c r="U52" s="591" t="s">
        <v>76</v>
      </c>
      <c r="V52">
        <f>Q8_RetainedEarn_2015</f>
        <v>0</v>
      </c>
    </row>
    <row r="53" spans="1:22">
      <c r="A53">
        <f>'D-RP-1'!A$2</f>
        <v>0</v>
      </c>
      <c r="B53">
        <f>'D-RP-1'!B$2</f>
        <v>0</v>
      </c>
      <c r="C53">
        <f>'D-RP-1'!C$2</f>
        <v>0</v>
      </c>
      <c r="D53">
        <f>'D-RP-1'!D$2</f>
        <v>0</v>
      </c>
      <c r="E53">
        <f>'D-RP-1'!E$2</f>
        <v>0</v>
      </c>
      <c r="F53">
        <f>'D-RP-1'!F$2</f>
        <v>0</v>
      </c>
      <c r="G53">
        <f>'D-RP-1'!G$2</f>
        <v>0</v>
      </c>
      <c r="H53">
        <f>'D-RP-1'!H$2</f>
        <v>0</v>
      </c>
      <c r="I53">
        <f>'D-RP-1'!I$2</f>
        <v>0</v>
      </c>
      <c r="J53">
        <f>'D-RP-1'!J$2</f>
        <v>0</v>
      </c>
      <c r="K53">
        <f>'D-RP-1'!K$2</f>
        <v>0</v>
      </c>
      <c r="L53" t="str">
        <f>'D-RP-1'!L$2</f>
        <v>No Sales</v>
      </c>
      <c r="M53">
        <f>'D-RP-1'!M$2</f>
        <v>0</v>
      </c>
      <c r="N53" t="str">
        <f>'D-RP-1'!N$2</f>
        <v>Insufficient Data</v>
      </c>
      <c r="O53" t="str">
        <f>'D-RP-1'!O$2</f>
        <v>Insufficient Data</v>
      </c>
      <c r="P53" t="str">
        <f>'D-RP-1'!P$2</f>
        <v>Uncalculated</v>
      </c>
      <c r="Q53">
        <f t="shared" si="2"/>
        <v>0</v>
      </c>
      <c r="R53">
        <f t="shared" si="3"/>
        <v>0</v>
      </c>
      <c r="S53" s="591" t="s">
        <v>1840</v>
      </c>
      <c r="T53" s="591">
        <v>2015</v>
      </c>
      <c r="U53" s="591" t="s">
        <v>78</v>
      </c>
      <c r="V53">
        <f>Q8_OwnersEq_2015</f>
        <v>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zoomScale="85" zoomScaleNormal="85" workbookViewId="0">
      <selection activeCell="A2" sqref="A2:P2"/>
    </sheetView>
  </sheetViews>
  <sheetFormatPr defaultRowHeight="15"/>
  <cols>
    <col min="19" max="19" width="42.5703125" customWidth="1"/>
  </cols>
  <sheetData>
    <row r="1" spans="1:2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1820</v>
      </c>
      <c r="R1" t="s">
        <v>1821</v>
      </c>
      <c r="S1" t="s">
        <v>1843</v>
      </c>
      <c r="T1" t="s">
        <v>98</v>
      </c>
      <c r="U1" t="s">
        <v>1824</v>
      </c>
    </row>
    <row r="2" spans="1:21">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33" si="0">Q8_IS_Schedule</f>
        <v>0</v>
      </c>
      <c r="R2">
        <f t="shared" ref="R2:R33" si="1">Q8_IS_Source</f>
        <v>0</v>
      </c>
      <c r="S2" t="s">
        <v>1844</v>
      </c>
      <c r="T2">
        <v>2012</v>
      </c>
      <c r="U2" t="str">
        <f>IF(Q8_CurrentLiab_2012=0, "No Current Liabilities", Q8_CurrentAssets_2012/Q8_CurrentLiab_2012)</f>
        <v>No Current Liabilities</v>
      </c>
    </row>
    <row r="3" spans="1:21">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t="s">
        <v>1845</v>
      </c>
      <c r="T3">
        <v>2012</v>
      </c>
      <c r="U3" t="str">
        <f>IF(Q8_CurrentLiab_2012=0, "No Current Liabilities", (Q8_CurrentAssets_2012-Q8_Inv_2012)/Q8_CurrentLiab_2012)</f>
        <v>No Current Liabilities</v>
      </c>
    </row>
    <row r="4" spans="1:21">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t="s">
        <v>1846</v>
      </c>
      <c r="T4">
        <v>2012</v>
      </c>
      <c r="U4" t="str">
        <f>IF(Q8_TotalAssets_2012=0, "No Assets", Q8_NetSales_2012/Q8_TotalAssets_2012)</f>
        <v>No Assets</v>
      </c>
    </row>
    <row r="5" spans="1:21">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t="s">
        <v>1847</v>
      </c>
      <c r="T5">
        <v>2012</v>
      </c>
      <c r="U5" t="str">
        <f>IF(Q8_Inv_2012=0, "No Inventory", Q8_COGS_2012/Q8_Inv_2012)</f>
        <v>No Inventory</v>
      </c>
    </row>
    <row r="6" spans="1:21">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t="s">
        <v>1848</v>
      </c>
      <c r="T6">
        <v>2012</v>
      </c>
      <c r="U6" t="str">
        <f>IF(Q8_TotalAssets_2012=0, "No Assets", Q8_TotalLiab_2012/Q8_TotalAssets_2012)</f>
        <v>No Assets</v>
      </c>
    </row>
    <row r="7" spans="1:21">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t="s">
        <v>1849</v>
      </c>
      <c r="T7">
        <v>2012</v>
      </c>
      <c r="U7" t="str">
        <f>IF(Q8_OwnersEq_2012=0, "No Owner's Equity", Q8_TotalLiab_2012/Q8_OwnersEq_2012)</f>
        <v>No Owner's Equity</v>
      </c>
    </row>
    <row r="8" spans="1:21">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t="s">
        <v>1850</v>
      </c>
      <c r="T8">
        <v>2012</v>
      </c>
      <c r="U8" t="str">
        <f>IF(Q8_OwnersEq_2012=0, "No Owner's Equity", Q8_TotalAssets_2012/Q8_OwnersEq_2012)</f>
        <v>No Owner's Equity</v>
      </c>
    </row>
    <row r="9" spans="1:21">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t="s">
        <v>1851</v>
      </c>
      <c r="T9">
        <v>2012</v>
      </c>
      <c r="U9" t="str">
        <f>IF(Q8_NetSales_2012=0, "No Sales", Q8_NetInc_2012/Q8_NetSales_2012)</f>
        <v>No Sales</v>
      </c>
    </row>
    <row r="10" spans="1:21">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t="s">
        <v>1852</v>
      </c>
      <c r="T10">
        <v>2012</v>
      </c>
      <c r="U10" t="str">
        <f>IF(Q8_TotalAssets_2012=0, "No Assets", Q8_NetInc_2012/Q8_TotalAssets_2012)</f>
        <v>No Assets</v>
      </c>
    </row>
    <row r="11" spans="1:21">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t="s">
        <v>1853</v>
      </c>
      <c r="T11">
        <v>2012</v>
      </c>
      <c r="U11" t="str">
        <f>IF(Q8_TotalAssets_2012=0, "No Assets", Q8_EBIT_2012/Q8_TotalAssets_2012)</f>
        <v>No Assets</v>
      </c>
    </row>
    <row r="12" spans="1:21">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t="s">
        <v>1854</v>
      </c>
      <c r="T12">
        <v>2012</v>
      </c>
      <c r="U12" t="str">
        <f>IF(Q8_OwnersEq_2012=0, "No Owner's Equity", Q8_NetInc_2012/Q8_OwnersEq_2012)</f>
        <v>No Owner's Equity</v>
      </c>
    </row>
    <row r="13" spans="1:21">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t="s">
        <v>1855</v>
      </c>
      <c r="T13">
        <v>2012</v>
      </c>
      <c r="U13" t="str">
        <f>IF(Q8_NetSales_2012=0,"No Sales",(Q8_NetSales_2012-Q8_COGS_2012)/Q8_NetSales_2012)</f>
        <v>No Sales</v>
      </c>
    </row>
    <row r="14" spans="1:21">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t="s">
        <v>1856</v>
      </c>
      <c r="T14">
        <v>2012</v>
      </c>
      <c r="U14" t="str">
        <f>IF(ISERROR(((Q8_CurrentAssets_2012-Q8_CurrentLiab_2012)/Q8_TotalAssets_2012)*0.717+(Q8_RetainedEarn_2012/Q8_TotalAssets_2012)*0.847+(Q8_EBIT_2012/Q8_TotalAssets_2012)*3.107+(Q8_OwnersEq_2012/Q8_TotalLiab_2012)*0.42+(Q8_NetSales_2012/Q8_TotalAssets_2012)*0.998), "Insufficient Data", ((Q8_CurrentAssets_2012-Q8_CurrentLiab_2012)/Q8_TotalAssets_2012)*0.717+(Q8_RetainedEarn_2012/Q8_TotalAssets_2012)*0.847+(Q8_EBIT_2012/Q8_TotalAssets_2012)*3.107+(Q8_OwnersEq_2012/Q8_TotalLiab_2012)*0.42+(Q8_NetSales_2012/Q8_TotalAssets_2012)*0.998)</f>
        <v>Insufficient Data</v>
      </c>
    </row>
    <row r="15" spans="1:21">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t="s">
        <v>1857</v>
      </c>
      <c r="T15">
        <v>2012</v>
      </c>
      <c r="U15" t="str">
        <f>IF(ISERROR(((Q8_CurrentAssets_2012-Q8_CurrentLiab_2012)/Q8_TotalAssets_2012)*6.56+(Q8_RetainedEarn_2012/Q8_TotalAssets_2012)*3.26+(Q8_EBIT_2012/Q8_TotalAssets_2012)*6.72+(Q8_OwnersEq_2012/Q8_TotalLiab_2012)*1.05), "Insufficient Data", ((Q8_CurrentAssets_2012-Q8_CurrentLiab_2012)/Q8_TotalAssets_2012)*6.56+(Q8_RetainedEarn_2012/Q8_TotalAssets_2012)*3.26+(Q8_EBIT_2012/Q8_TotalAssets_2012)*6.72+(Q8_OwnersEq_2012/Q8_TotalLiab_2012)*1.05)</f>
        <v>Insufficient Data</v>
      </c>
    </row>
    <row r="16" spans="1:21">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t="s">
        <v>1858</v>
      </c>
      <c r="T16">
        <v>2012</v>
      </c>
      <c r="U16" t="str">
        <f>IF(Q8_Inv_2012=0, "No Inventory", Q8_NetSales_2012/Q8_Inv_2012)</f>
        <v>No Inventory</v>
      </c>
    </row>
    <row r="17" spans="1:21">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t="s">
        <v>1859</v>
      </c>
      <c r="T17">
        <v>2012</v>
      </c>
      <c r="U17" t="str">
        <f>IF(Q8_NetSales_2012=0, "No Sales", Q8_OpInc_2012/Q8_NetSales_2012)</f>
        <v>No Sales</v>
      </c>
    </row>
    <row r="18" spans="1:21">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t="s">
        <v>1860</v>
      </c>
      <c r="T18">
        <v>2012</v>
      </c>
      <c r="U18" t="str">
        <f>IF(Q8_NetSales_2012=0, "No Sales", Q8_EBIT_2012/Q8_NetSales_2012)</f>
        <v>No Sales</v>
      </c>
    </row>
    <row r="19" spans="1:21">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t="s">
        <v>1861</v>
      </c>
      <c r="T19">
        <v>2012</v>
      </c>
      <c r="U19" t="str">
        <f>IF(Q11a_FTE_Total_2012=0, "No Employees", Q8_NetSales_2012/Q11a_FTE_Total_2012)</f>
        <v>No Employees</v>
      </c>
    </row>
    <row r="20" spans="1:21">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t="s">
        <v>1862</v>
      </c>
      <c r="T20">
        <v>2012</v>
      </c>
      <c r="U20" t="str">
        <f>IF(Q8_NetSales_2012=0, "No Sales", Q11_Expend_Total_2012/Q8_NetSales_2012)</f>
        <v>No Sales</v>
      </c>
    </row>
    <row r="21" spans="1:21">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t="s">
        <v>1844</v>
      </c>
      <c r="T21">
        <v>2013</v>
      </c>
      <c r="U21" t="str">
        <f>IF(Q8_CurrentLiab_2013=0, "No Current Liabilities", Q8_CurrentAssets_2013/Q8_CurrentLiab_2013)</f>
        <v>No Current Liabilities</v>
      </c>
    </row>
    <row r="22" spans="1:21">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si="0"/>
        <v>0</v>
      </c>
      <c r="R22">
        <f t="shared" si="1"/>
        <v>0</v>
      </c>
      <c r="S22" t="s">
        <v>1845</v>
      </c>
      <c r="T22">
        <v>2013</v>
      </c>
      <c r="U22" t="str">
        <f>IF(Q8_CurrentLiab_2013=0, "No Current Liabilities", (Q8_CurrentAssets_2013-Q8_Inv_2013)/Q8_CurrentLiab_2013)</f>
        <v>No Current Liabilities</v>
      </c>
    </row>
    <row r="23" spans="1:21">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0"/>
        <v>0</v>
      </c>
      <c r="R23">
        <f t="shared" si="1"/>
        <v>0</v>
      </c>
      <c r="S23" t="s">
        <v>1846</v>
      </c>
      <c r="T23">
        <v>2013</v>
      </c>
      <c r="U23" t="str">
        <f>IF(Q8_TotalAssets_2013=0, "No Assets", Q8_NetSales_2013/Q8_TotalAssets_2013)</f>
        <v>No Assets</v>
      </c>
    </row>
    <row r="24" spans="1:21">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0"/>
        <v>0</v>
      </c>
      <c r="R24">
        <f t="shared" si="1"/>
        <v>0</v>
      </c>
      <c r="S24" t="s">
        <v>1847</v>
      </c>
      <c r="T24">
        <v>2013</v>
      </c>
      <c r="U24" t="str">
        <f>IF(Q8_Inv_2013=0, "No Inventory", Q8_COGS_2013/Q8_Inv_2013)</f>
        <v>No Inventory</v>
      </c>
    </row>
    <row r="25" spans="1:21">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0"/>
        <v>0</v>
      </c>
      <c r="R25">
        <f t="shared" si="1"/>
        <v>0</v>
      </c>
      <c r="S25" t="s">
        <v>1848</v>
      </c>
      <c r="T25">
        <v>2013</v>
      </c>
      <c r="U25" t="str">
        <f>IF(Q8_TotalAssets_2013=0, "No Assets", Q8_TotalLiab_2013/Q8_TotalAssets_2013)</f>
        <v>No Assets</v>
      </c>
    </row>
    <row r="26" spans="1:21">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0"/>
        <v>0</v>
      </c>
      <c r="R26">
        <f t="shared" si="1"/>
        <v>0</v>
      </c>
      <c r="S26" t="s">
        <v>1849</v>
      </c>
      <c r="T26">
        <v>2013</v>
      </c>
      <c r="U26" t="str">
        <f>IF(Q8_OwnersEq_2013=0, "No Owner's Equity", Q8_TotalLiab_2013/Q8_OwnersEq_2013)</f>
        <v>No Owner's Equity</v>
      </c>
    </row>
    <row r="27" spans="1:21">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0"/>
        <v>0</v>
      </c>
      <c r="R27">
        <f t="shared" si="1"/>
        <v>0</v>
      </c>
      <c r="S27" t="s">
        <v>1850</v>
      </c>
      <c r="T27">
        <v>2013</v>
      </c>
      <c r="U27" t="str">
        <f>IF(Q8_OwnersEq_2013=0, "No Owner's Equity", Q8_TotalAssets_2013/Q8_OwnersEq_2013)</f>
        <v>No Owner's Equity</v>
      </c>
    </row>
    <row r="28" spans="1:21">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0"/>
        <v>0</v>
      </c>
      <c r="R28">
        <f t="shared" si="1"/>
        <v>0</v>
      </c>
      <c r="S28" t="s">
        <v>1851</v>
      </c>
      <c r="T28">
        <v>2013</v>
      </c>
      <c r="U28" t="str">
        <f>IF(Q8_NetSales_2013=0, "No Sales", Q8_NetInc_2013/Q8_NetSales_2013)</f>
        <v>No Sales</v>
      </c>
    </row>
    <row r="29" spans="1:21">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0"/>
        <v>0</v>
      </c>
      <c r="R29">
        <f t="shared" si="1"/>
        <v>0</v>
      </c>
      <c r="S29" t="s">
        <v>1852</v>
      </c>
      <c r="T29">
        <v>2013</v>
      </c>
      <c r="U29" t="str">
        <f>IF(Q8_TotalAssets_2013=0, "No Assets", Q8_NetInc_2013/Q8_TotalAssets_2013)</f>
        <v>No Assets</v>
      </c>
    </row>
    <row r="30" spans="1:21">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f t="shared" si="0"/>
        <v>0</v>
      </c>
      <c r="R30">
        <f t="shared" si="1"/>
        <v>0</v>
      </c>
      <c r="S30" t="s">
        <v>1853</v>
      </c>
      <c r="T30">
        <v>2013</v>
      </c>
      <c r="U30" t="str">
        <f>IF(Q8_TotalAssets_2013=0, "No Assets", Q8_EBIT_2013/Q8_TotalAssets_2013)</f>
        <v>No Assets</v>
      </c>
    </row>
    <row r="31" spans="1:21">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f t="shared" si="0"/>
        <v>0</v>
      </c>
      <c r="R31">
        <f t="shared" si="1"/>
        <v>0</v>
      </c>
      <c r="S31" t="s">
        <v>1854</v>
      </c>
      <c r="T31">
        <v>2013</v>
      </c>
      <c r="U31" t="str">
        <f>IF(Q8_OwnersEq_2013=0, "No Owner's Equity", Q8_NetInc_2013/Q8_OwnersEq_2013)</f>
        <v>No Owner's Equity</v>
      </c>
    </row>
    <row r="32" spans="1:21">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f t="shared" si="0"/>
        <v>0</v>
      </c>
      <c r="R32">
        <f t="shared" si="1"/>
        <v>0</v>
      </c>
      <c r="S32" t="s">
        <v>1855</v>
      </c>
      <c r="T32">
        <v>2013</v>
      </c>
      <c r="U32" t="str">
        <f>IF(Q8_NetSales_2013=0,"No Sales",(Q8_NetSales_2013-Q8_COGS_2013)/Q8_NetSales_2013)</f>
        <v>No Sales</v>
      </c>
    </row>
    <row r="33" spans="1:21">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f t="shared" si="0"/>
        <v>0</v>
      </c>
      <c r="R33">
        <f t="shared" si="1"/>
        <v>0</v>
      </c>
      <c r="S33" t="s">
        <v>1856</v>
      </c>
      <c r="T33">
        <v>2013</v>
      </c>
      <c r="U33" t="str">
        <f>IF(ISERROR(((Q8_CurrentAssets_2013-Q8_CurrentLiab_2013)/Q8_TotalAssets_2013)*0.717+(Q8_RetainedEarn_2013/Q8_TotalAssets_2013)*0.847+(Q8_EBIT_2013/Q8_TotalAssets_2013)*3.107+(Q8_OwnersEq_2013/Q8_TotalLiab_2013)*0.42+(Q8_NetSales_2013/Q8_TotalAssets_2013)*0.998), "Insufficient Data", ((Q8_CurrentAssets_2013-Q8_CurrentLiab_2013)/Q8_TotalAssets_2013)*0.717+(Q8_RetainedEarn_2013/Q8_TotalAssets_2013)*0.847+(Q8_EBIT_2013/Q8_TotalAssets_2013)*3.107+(Q8_OwnersEq_2013/Q8_TotalLiab_2013)*0.42+(Q8_NetSales_2013/Q8_TotalAssets_2013)*0.998)</f>
        <v>Insufficient Data</v>
      </c>
    </row>
    <row r="34" spans="1:21">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f t="shared" ref="Q34:Q65" si="2">Q8_IS_Schedule</f>
        <v>0</v>
      </c>
      <c r="R34">
        <f t="shared" ref="R34:R65" si="3">Q8_IS_Source</f>
        <v>0</v>
      </c>
      <c r="S34" t="s">
        <v>1857</v>
      </c>
      <c r="T34">
        <v>2013</v>
      </c>
      <c r="U34" t="str">
        <f>IF(ISERROR(((Q8_CurrentAssets_2013-Q8_CurrentLiab_2013)/Q8_TotalAssets_2013)*6.56+(Q8_RetainedEarn_2013/Q8_TotalAssets_2013)*3.26+(Q8_EBIT_2013/Q8_TotalAssets_2013)*6.72+(Q8_OwnersEq_2013/Q8_TotalLiab_2013)*1.05), "Insufficient Data", ((Q8_CurrentAssets_2013-Q8_CurrentLiab_2013)/Q8_TotalAssets_2013)*6.56+(Q8_RetainedEarn_2013/Q8_TotalAssets_2013)*3.26+(Q8_EBIT_2013/Q8_TotalAssets_2013)*6.72+(Q8_OwnersEq_2013/Q8_TotalLiab_2013)*1.05)</f>
        <v>Insufficient Data</v>
      </c>
    </row>
    <row r="35" spans="1:21">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f t="shared" si="2"/>
        <v>0</v>
      </c>
      <c r="R35">
        <f t="shared" si="3"/>
        <v>0</v>
      </c>
      <c r="S35" t="s">
        <v>1858</v>
      </c>
      <c r="T35">
        <v>2013</v>
      </c>
      <c r="U35" t="str">
        <f>IF(Q8_Inv_2013=0, "No Inventory", Q8_NetSales_2013/Q8_Inv_2013)</f>
        <v>No Inventory</v>
      </c>
    </row>
    <row r="36" spans="1:21">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f t="shared" si="2"/>
        <v>0</v>
      </c>
      <c r="R36">
        <f t="shared" si="3"/>
        <v>0</v>
      </c>
      <c r="S36" t="s">
        <v>1859</v>
      </c>
      <c r="T36">
        <v>2013</v>
      </c>
      <c r="U36" t="str">
        <f>IF(Q8_NetSales_2013=0, "No Sales", Q8_OpInc_2013/Q8_NetSales_2013)</f>
        <v>No Sales</v>
      </c>
    </row>
    <row r="37" spans="1:21">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f t="shared" si="2"/>
        <v>0</v>
      </c>
      <c r="R37">
        <f t="shared" si="3"/>
        <v>0</v>
      </c>
      <c r="S37" t="s">
        <v>1860</v>
      </c>
      <c r="T37">
        <v>2013</v>
      </c>
      <c r="U37" t="str">
        <f>IF(Q8_NetSales_2013=0, "No Sales", Q8_EBIT_2013/Q8_NetSales_2013)</f>
        <v>No Sales</v>
      </c>
    </row>
    <row r="38" spans="1:21">
      <c r="A38">
        <f>'D-RP-1'!A$2</f>
        <v>0</v>
      </c>
      <c r="B38">
        <f>'D-RP-1'!B$2</f>
        <v>0</v>
      </c>
      <c r="C38">
        <f>'D-RP-1'!C$2</f>
        <v>0</v>
      </c>
      <c r="D38">
        <f>'D-RP-1'!D$2</f>
        <v>0</v>
      </c>
      <c r="E38">
        <f>'D-RP-1'!E$2</f>
        <v>0</v>
      </c>
      <c r="F38">
        <f>'D-RP-1'!F$2</f>
        <v>0</v>
      </c>
      <c r="G38">
        <f>'D-RP-1'!G$2</f>
        <v>0</v>
      </c>
      <c r="H38">
        <f>'D-RP-1'!H$2</f>
        <v>0</v>
      </c>
      <c r="I38">
        <f>'D-RP-1'!I$2</f>
        <v>0</v>
      </c>
      <c r="J38">
        <f>'D-RP-1'!J$2</f>
        <v>0</v>
      </c>
      <c r="K38">
        <f>'D-RP-1'!K$2</f>
        <v>0</v>
      </c>
      <c r="L38" t="str">
        <f>'D-RP-1'!L$2</f>
        <v>No Sales</v>
      </c>
      <c r="M38">
        <f>'D-RP-1'!M$2</f>
        <v>0</v>
      </c>
      <c r="N38" t="str">
        <f>'D-RP-1'!N$2</f>
        <v>Insufficient Data</v>
      </c>
      <c r="O38" t="str">
        <f>'D-RP-1'!O$2</f>
        <v>Insufficient Data</v>
      </c>
      <c r="P38" t="str">
        <f>'D-RP-1'!P$2</f>
        <v>Uncalculated</v>
      </c>
      <c r="Q38">
        <f t="shared" si="2"/>
        <v>0</v>
      </c>
      <c r="R38">
        <f t="shared" si="3"/>
        <v>0</v>
      </c>
      <c r="S38" t="s">
        <v>1861</v>
      </c>
      <c r="T38">
        <v>2013</v>
      </c>
      <c r="U38" t="str">
        <f>IF(Q11a_FTE_Total_2013=0, "No Employees", Q8_NetSales_2013/Q11a_FTE_Total_2013)</f>
        <v>No Employees</v>
      </c>
    </row>
    <row r="39" spans="1:21">
      <c r="A39">
        <f>'D-RP-1'!A$2</f>
        <v>0</v>
      </c>
      <c r="B39">
        <f>'D-RP-1'!B$2</f>
        <v>0</v>
      </c>
      <c r="C39">
        <f>'D-RP-1'!C$2</f>
        <v>0</v>
      </c>
      <c r="D39">
        <f>'D-RP-1'!D$2</f>
        <v>0</v>
      </c>
      <c r="E39">
        <f>'D-RP-1'!E$2</f>
        <v>0</v>
      </c>
      <c r="F39">
        <f>'D-RP-1'!F$2</f>
        <v>0</v>
      </c>
      <c r="G39">
        <f>'D-RP-1'!G$2</f>
        <v>0</v>
      </c>
      <c r="H39">
        <f>'D-RP-1'!H$2</f>
        <v>0</v>
      </c>
      <c r="I39">
        <f>'D-RP-1'!I$2</f>
        <v>0</v>
      </c>
      <c r="J39">
        <f>'D-RP-1'!J$2</f>
        <v>0</v>
      </c>
      <c r="K39">
        <f>'D-RP-1'!K$2</f>
        <v>0</v>
      </c>
      <c r="L39" t="str">
        <f>'D-RP-1'!L$2</f>
        <v>No Sales</v>
      </c>
      <c r="M39">
        <f>'D-RP-1'!M$2</f>
        <v>0</v>
      </c>
      <c r="N39" t="str">
        <f>'D-RP-1'!N$2</f>
        <v>Insufficient Data</v>
      </c>
      <c r="O39" t="str">
        <f>'D-RP-1'!O$2</f>
        <v>Insufficient Data</v>
      </c>
      <c r="P39" t="str">
        <f>'D-RP-1'!P$2</f>
        <v>Uncalculated</v>
      </c>
      <c r="Q39">
        <f t="shared" si="2"/>
        <v>0</v>
      </c>
      <c r="R39">
        <f t="shared" si="3"/>
        <v>0</v>
      </c>
      <c r="S39" t="s">
        <v>1862</v>
      </c>
      <c r="T39">
        <v>2013</v>
      </c>
      <c r="U39" t="str">
        <f>IF(Q8_NetSales_2013=0, "No Sales", Q11_Expend_Total_2013/Q8_NetSales_2013)</f>
        <v>No Sales</v>
      </c>
    </row>
    <row r="40" spans="1:21">
      <c r="A40">
        <f>'D-RP-1'!A$2</f>
        <v>0</v>
      </c>
      <c r="B40">
        <f>'D-RP-1'!B$2</f>
        <v>0</v>
      </c>
      <c r="C40">
        <f>'D-RP-1'!C$2</f>
        <v>0</v>
      </c>
      <c r="D40">
        <f>'D-RP-1'!D$2</f>
        <v>0</v>
      </c>
      <c r="E40">
        <f>'D-RP-1'!E$2</f>
        <v>0</v>
      </c>
      <c r="F40">
        <f>'D-RP-1'!F$2</f>
        <v>0</v>
      </c>
      <c r="G40">
        <f>'D-RP-1'!G$2</f>
        <v>0</v>
      </c>
      <c r="H40">
        <f>'D-RP-1'!H$2</f>
        <v>0</v>
      </c>
      <c r="I40">
        <f>'D-RP-1'!I$2</f>
        <v>0</v>
      </c>
      <c r="J40">
        <f>'D-RP-1'!J$2</f>
        <v>0</v>
      </c>
      <c r="K40">
        <f>'D-RP-1'!K$2</f>
        <v>0</v>
      </c>
      <c r="L40" t="str">
        <f>'D-RP-1'!L$2</f>
        <v>No Sales</v>
      </c>
      <c r="M40">
        <f>'D-RP-1'!M$2</f>
        <v>0</v>
      </c>
      <c r="N40" t="str">
        <f>'D-RP-1'!N$2</f>
        <v>Insufficient Data</v>
      </c>
      <c r="O40" t="str">
        <f>'D-RP-1'!O$2</f>
        <v>Insufficient Data</v>
      </c>
      <c r="P40" t="str">
        <f>'D-RP-1'!P$2</f>
        <v>Uncalculated</v>
      </c>
      <c r="Q40">
        <f t="shared" si="2"/>
        <v>0</v>
      </c>
      <c r="R40">
        <f t="shared" si="3"/>
        <v>0</v>
      </c>
      <c r="S40" t="s">
        <v>1844</v>
      </c>
      <c r="T40">
        <v>2014</v>
      </c>
      <c r="U40" t="str">
        <f>IF(Q8_CurrentLiab_2014=0, "No Current Liabilities", Q8_CurrentAssets_2014/Q8_CurrentLiab_2014)</f>
        <v>No Current Liabilities</v>
      </c>
    </row>
    <row r="41" spans="1:21">
      <c r="A41">
        <f>'D-RP-1'!A$2</f>
        <v>0</v>
      </c>
      <c r="B41">
        <f>'D-RP-1'!B$2</f>
        <v>0</v>
      </c>
      <c r="C41">
        <f>'D-RP-1'!C$2</f>
        <v>0</v>
      </c>
      <c r="D41">
        <f>'D-RP-1'!D$2</f>
        <v>0</v>
      </c>
      <c r="E41">
        <f>'D-RP-1'!E$2</f>
        <v>0</v>
      </c>
      <c r="F41">
        <f>'D-RP-1'!F$2</f>
        <v>0</v>
      </c>
      <c r="G41">
        <f>'D-RP-1'!G$2</f>
        <v>0</v>
      </c>
      <c r="H41">
        <f>'D-RP-1'!H$2</f>
        <v>0</v>
      </c>
      <c r="I41">
        <f>'D-RP-1'!I$2</f>
        <v>0</v>
      </c>
      <c r="J41">
        <f>'D-RP-1'!J$2</f>
        <v>0</v>
      </c>
      <c r="K41">
        <f>'D-RP-1'!K$2</f>
        <v>0</v>
      </c>
      <c r="L41" t="str">
        <f>'D-RP-1'!L$2</f>
        <v>No Sales</v>
      </c>
      <c r="M41">
        <f>'D-RP-1'!M$2</f>
        <v>0</v>
      </c>
      <c r="N41" t="str">
        <f>'D-RP-1'!N$2</f>
        <v>Insufficient Data</v>
      </c>
      <c r="O41" t="str">
        <f>'D-RP-1'!O$2</f>
        <v>Insufficient Data</v>
      </c>
      <c r="P41" t="str">
        <f>'D-RP-1'!P$2</f>
        <v>Uncalculated</v>
      </c>
      <c r="Q41">
        <f t="shared" si="2"/>
        <v>0</v>
      </c>
      <c r="R41">
        <f t="shared" si="3"/>
        <v>0</v>
      </c>
      <c r="S41" t="s">
        <v>1845</v>
      </c>
      <c r="T41">
        <v>2014</v>
      </c>
      <c r="U41" t="str">
        <f>IF(Q8_CurrentLiab_2014=0, "No Current Liabilities", (Q8_CurrentAssets_2014-Q8_Inv_2014)/Q8_CurrentLiab_2014)</f>
        <v>No Current Liabilities</v>
      </c>
    </row>
    <row r="42" spans="1:21">
      <c r="A42">
        <f>'D-RP-1'!A$2</f>
        <v>0</v>
      </c>
      <c r="B42">
        <f>'D-RP-1'!B$2</f>
        <v>0</v>
      </c>
      <c r="C42">
        <f>'D-RP-1'!C$2</f>
        <v>0</v>
      </c>
      <c r="D42">
        <f>'D-RP-1'!D$2</f>
        <v>0</v>
      </c>
      <c r="E42">
        <f>'D-RP-1'!E$2</f>
        <v>0</v>
      </c>
      <c r="F42">
        <f>'D-RP-1'!F$2</f>
        <v>0</v>
      </c>
      <c r="G42">
        <f>'D-RP-1'!G$2</f>
        <v>0</v>
      </c>
      <c r="H42">
        <f>'D-RP-1'!H$2</f>
        <v>0</v>
      </c>
      <c r="I42">
        <f>'D-RP-1'!I$2</f>
        <v>0</v>
      </c>
      <c r="J42">
        <f>'D-RP-1'!J$2</f>
        <v>0</v>
      </c>
      <c r="K42">
        <f>'D-RP-1'!K$2</f>
        <v>0</v>
      </c>
      <c r="L42" t="str">
        <f>'D-RP-1'!L$2</f>
        <v>No Sales</v>
      </c>
      <c r="M42">
        <f>'D-RP-1'!M$2</f>
        <v>0</v>
      </c>
      <c r="N42" t="str">
        <f>'D-RP-1'!N$2</f>
        <v>Insufficient Data</v>
      </c>
      <c r="O42" t="str">
        <f>'D-RP-1'!O$2</f>
        <v>Insufficient Data</v>
      </c>
      <c r="P42" t="str">
        <f>'D-RP-1'!P$2</f>
        <v>Uncalculated</v>
      </c>
      <c r="Q42">
        <f t="shared" si="2"/>
        <v>0</v>
      </c>
      <c r="R42">
        <f t="shared" si="3"/>
        <v>0</v>
      </c>
      <c r="S42" t="s">
        <v>1846</v>
      </c>
      <c r="T42">
        <v>2014</v>
      </c>
      <c r="U42" t="str">
        <f>IF(Q8_TotalAssets_2014=0, "No Assets", Q8_NetSales_2014/Q8_TotalAssets_2014)</f>
        <v>No Assets</v>
      </c>
    </row>
    <row r="43" spans="1:21">
      <c r="A43">
        <f>'D-RP-1'!A$2</f>
        <v>0</v>
      </c>
      <c r="B43">
        <f>'D-RP-1'!B$2</f>
        <v>0</v>
      </c>
      <c r="C43">
        <f>'D-RP-1'!C$2</f>
        <v>0</v>
      </c>
      <c r="D43">
        <f>'D-RP-1'!D$2</f>
        <v>0</v>
      </c>
      <c r="E43">
        <f>'D-RP-1'!E$2</f>
        <v>0</v>
      </c>
      <c r="F43">
        <f>'D-RP-1'!F$2</f>
        <v>0</v>
      </c>
      <c r="G43">
        <f>'D-RP-1'!G$2</f>
        <v>0</v>
      </c>
      <c r="H43">
        <f>'D-RP-1'!H$2</f>
        <v>0</v>
      </c>
      <c r="I43">
        <f>'D-RP-1'!I$2</f>
        <v>0</v>
      </c>
      <c r="J43">
        <f>'D-RP-1'!J$2</f>
        <v>0</v>
      </c>
      <c r="K43">
        <f>'D-RP-1'!K$2</f>
        <v>0</v>
      </c>
      <c r="L43" t="str">
        <f>'D-RP-1'!L$2</f>
        <v>No Sales</v>
      </c>
      <c r="M43">
        <f>'D-RP-1'!M$2</f>
        <v>0</v>
      </c>
      <c r="N43" t="str">
        <f>'D-RP-1'!N$2</f>
        <v>Insufficient Data</v>
      </c>
      <c r="O43" t="str">
        <f>'D-RP-1'!O$2</f>
        <v>Insufficient Data</v>
      </c>
      <c r="P43" t="str">
        <f>'D-RP-1'!P$2</f>
        <v>Uncalculated</v>
      </c>
      <c r="Q43">
        <f t="shared" si="2"/>
        <v>0</v>
      </c>
      <c r="R43">
        <f t="shared" si="3"/>
        <v>0</v>
      </c>
      <c r="S43" t="s">
        <v>1847</v>
      </c>
      <c r="T43">
        <v>2014</v>
      </c>
      <c r="U43" t="str">
        <f>IF(Q8_Inv_2014=0, "No Inventory", Q8_COGS_2014/Q8_Inv_2014)</f>
        <v>No Inventory</v>
      </c>
    </row>
    <row r="44" spans="1:21">
      <c r="A44">
        <f>'D-RP-1'!A$2</f>
        <v>0</v>
      </c>
      <c r="B44">
        <f>'D-RP-1'!B$2</f>
        <v>0</v>
      </c>
      <c r="C44">
        <f>'D-RP-1'!C$2</f>
        <v>0</v>
      </c>
      <c r="D44">
        <f>'D-RP-1'!D$2</f>
        <v>0</v>
      </c>
      <c r="E44">
        <f>'D-RP-1'!E$2</f>
        <v>0</v>
      </c>
      <c r="F44">
        <f>'D-RP-1'!F$2</f>
        <v>0</v>
      </c>
      <c r="G44">
        <f>'D-RP-1'!G$2</f>
        <v>0</v>
      </c>
      <c r="H44">
        <f>'D-RP-1'!H$2</f>
        <v>0</v>
      </c>
      <c r="I44">
        <f>'D-RP-1'!I$2</f>
        <v>0</v>
      </c>
      <c r="J44">
        <f>'D-RP-1'!J$2</f>
        <v>0</v>
      </c>
      <c r="K44">
        <f>'D-RP-1'!K$2</f>
        <v>0</v>
      </c>
      <c r="L44" t="str">
        <f>'D-RP-1'!L$2</f>
        <v>No Sales</v>
      </c>
      <c r="M44">
        <f>'D-RP-1'!M$2</f>
        <v>0</v>
      </c>
      <c r="N44" t="str">
        <f>'D-RP-1'!N$2</f>
        <v>Insufficient Data</v>
      </c>
      <c r="O44" t="str">
        <f>'D-RP-1'!O$2</f>
        <v>Insufficient Data</v>
      </c>
      <c r="P44" t="str">
        <f>'D-RP-1'!P$2</f>
        <v>Uncalculated</v>
      </c>
      <c r="Q44">
        <f t="shared" si="2"/>
        <v>0</v>
      </c>
      <c r="R44">
        <f t="shared" si="3"/>
        <v>0</v>
      </c>
      <c r="S44" t="s">
        <v>1848</v>
      </c>
      <c r="T44">
        <v>2014</v>
      </c>
      <c r="U44" t="str">
        <f>IF(Q8_TotalAssets_2014=0, "No Assets", Q8_TotalLiab_2014/Q8_TotalAssets_2014)</f>
        <v>No Assets</v>
      </c>
    </row>
    <row r="45" spans="1:21">
      <c r="A45">
        <f>'D-RP-1'!A$2</f>
        <v>0</v>
      </c>
      <c r="B45">
        <f>'D-RP-1'!B$2</f>
        <v>0</v>
      </c>
      <c r="C45">
        <f>'D-RP-1'!C$2</f>
        <v>0</v>
      </c>
      <c r="D45">
        <f>'D-RP-1'!D$2</f>
        <v>0</v>
      </c>
      <c r="E45">
        <f>'D-RP-1'!E$2</f>
        <v>0</v>
      </c>
      <c r="F45">
        <f>'D-RP-1'!F$2</f>
        <v>0</v>
      </c>
      <c r="G45">
        <f>'D-RP-1'!G$2</f>
        <v>0</v>
      </c>
      <c r="H45">
        <f>'D-RP-1'!H$2</f>
        <v>0</v>
      </c>
      <c r="I45">
        <f>'D-RP-1'!I$2</f>
        <v>0</v>
      </c>
      <c r="J45">
        <f>'D-RP-1'!J$2</f>
        <v>0</v>
      </c>
      <c r="K45">
        <f>'D-RP-1'!K$2</f>
        <v>0</v>
      </c>
      <c r="L45" t="str">
        <f>'D-RP-1'!L$2</f>
        <v>No Sales</v>
      </c>
      <c r="M45">
        <f>'D-RP-1'!M$2</f>
        <v>0</v>
      </c>
      <c r="N45" t="str">
        <f>'D-RP-1'!N$2</f>
        <v>Insufficient Data</v>
      </c>
      <c r="O45" t="str">
        <f>'D-RP-1'!O$2</f>
        <v>Insufficient Data</v>
      </c>
      <c r="P45" t="str">
        <f>'D-RP-1'!P$2</f>
        <v>Uncalculated</v>
      </c>
      <c r="Q45">
        <f t="shared" si="2"/>
        <v>0</v>
      </c>
      <c r="R45">
        <f t="shared" si="3"/>
        <v>0</v>
      </c>
      <c r="S45" t="s">
        <v>1849</v>
      </c>
      <c r="T45">
        <v>2014</v>
      </c>
      <c r="U45" t="str">
        <f>IF(Q8_OwnersEq_2014=0, "No Owner's Equity", Q8_TotalLiab_2014/Q8_OwnersEq_2014)</f>
        <v>No Owner's Equity</v>
      </c>
    </row>
    <row r="46" spans="1:21">
      <c r="A46">
        <f>'D-RP-1'!A$2</f>
        <v>0</v>
      </c>
      <c r="B46">
        <f>'D-RP-1'!B$2</f>
        <v>0</v>
      </c>
      <c r="C46">
        <f>'D-RP-1'!C$2</f>
        <v>0</v>
      </c>
      <c r="D46">
        <f>'D-RP-1'!D$2</f>
        <v>0</v>
      </c>
      <c r="E46">
        <f>'D-RP-1'!E$2</f>
        <v>0</v>
      </c>
      <c r="F46">
        <f>'D-RP-1'!F$2</f>
        <v>0</v>
      </c>
      <c r="G46">
        <f>'D-RP-1'!G$2</f>
        <v>0</v>
      </c>
      <c r="H46">
        <f>'D-RP-1'!H$2</f>
        <v>0</v>
      </c>
      <c r="I46">
        <f>'D-RP-1'!I$2</f>
        <v>0</v>
      </c>
      <c r="J46">
        <f>'D-RP-1'!J$2</f>
        <v>0</v>
      </c>
      <c r="K46">
        <f>'D-RP-1'!K$2</f>
        <v>0</v>
      </c>
      <c r="L46" t="str">
        <f>'D-RP-1'!L$2</f>
        <v>No Sales</v>
      </c>
      <c r="M46">
        <f>'D-RP-1'!M$2</f>
        <v>0</v>
      </c>
      <c r="N46" t="str">
        <f>'D-RP-1'!N$2</f>
        <v>Insufficient Data</v>
      </c>
      <c r="O46" t="str">
        <f>'D-RP-1'!O$2</f>
        <v>Insufficient Data</v>
      </c>
      <c r="P46" t="str">
        <f>'D-RP-1'!P$2</f>
        <v>Uncalculated</v>
      </c>
      <c r="Q46">
        <f t="shared" si="2"/>
        <v>0</v>
      </c>
      <c r="R46">
        <f t="shared" si="3"/>
        <v>0</v>
      </c>
      <c r="S46" t="s">
        <v>1850</v>
      </c>
      <c r="T46">
        <v>2014</v>
      </c>
      <c r="U46" t="str">
        <f>IF(Q8_OwnersEq_2014=0, "No Owner's Equity", Q8_TotalAssets_2014/Q8_OwnersEq_2014)</f>
        <v>No Owner's Equity</v>
      </c>
    </row>
    <row r="47" spans="1:21">
      <c r="A47">
        <f>'D-RP-1'!A$2</f>
        <v>0</v>
      </c>
      <c r="B47">
        <f>'D-RP-1'!B$2</f>
        <v>0</v>
      </c>
      <c r="C47">
        <f>'D-RP-1'!C$2</f>
        <v>0</v>
      </c>
      <c r="D47">
        <f>'D-RP-1'!D$2</f>
        <v>0</v>
      </c>
      <c r="E47">
        <f>'D-RP-1'!E$2</f>
        <v>0</v>
      </c>
      <c r="F47">
        <f>'D-RP-1'!F$2</f>
        <v>0</v>
      </c>
      <c r="G47">
        <f>'D-RP-1'!G$2</f>
        <v>0</v>
      </c>
      <c r="H47">
        <f>'D-RP-1'!H$2</f>
        <v>0</v>
      </c>
      <c r="I47">
        <f>'D-RP-1'!I$2</f>
        <v>0</v>
      </c>
      <c r="J47">
        <f>'D-RP-1'!J$2</f>
        <v>0</v>
      </c>
      <c r="K47">
        <f>'D-RP-1'!K$2</f>
        <v>0</v>
      </c>
      <c r="L47" t="str">
        <f>'D-RP-1'!L$2</f>
        <v>No Sales</v>
      </c>
      <c r="M47">
        <f>'D-RP-1'!M$2</f>
        <v>0</v>
      </c>
      <c r="N47" t="str">
        <f>'D-RP-1'!N$2</f>
        <v>Insufficient Data</v>
      </c>
      <c r="O47" t="str">
        <f>'D-RP-1'!O$2</f>
        <v>Insufficient Data</v>
      </c>
      <c r="P47" t="str">
        <f>'D-RP-1'!P$2</f>
        <v>Uncalculated</v>
      </c>
      <c r="Q47">
        <f t="shared" si="2"/>
        <v>0</v>
      </c>
      <c r="R47">
        <f t="shared" si="3"/>
        <v>0</v>
      </c>
      <c r="S47" t="s">
        <v>1851</v>
      </c>
      <c r="T47">
        <v>2014</v>
      </c>
      <c r="U47" t="str">
        <f>IF(Q8_NetSales_2014=0, "No Sales", Q8_NetInc_2014/Q8_NetSales_2014)</f>
        <v>No Sales</v>
      </c>
    </row>
    <row r="48" spans="1:21">
      <c r="A48">
        <f>'D-RP-1'!A$2</f>
        <v>0</v>
      </c>
      <c r="B48">
        <f>'D-RP-1'!B$2</f>
        <v>0</v>
      </c>
      <c r="C48">
        <f>'D-RP-1'!C$2</f>
        <v>0</v>
      </c>
      <c r="D48">
        <f>'D-RP-1'!D$2</f>
        <v>0</v>
      </c>
      <c r="E48">
        <f>'D-RP-1'!E$2</f>
        <v>0</v>
      </c>
      <c r="F48">
        <f>'D-RP-1'!F$2</f>
        <v>0</v>
      </c>
      <c r="G48">
        <f>'D-RP-1'!G$2</f>
        <v>0</v>
      </c>
      <c r="H48">
        <f>'D-RP-1'!H$2</f>
        <v>0</v>
      </c>
      <c r="I48">
        <f>'D-RP-1'!I$2</f>
        <v>0</v>
      </c>
      <c r="J48">
        <f>'D-RP-1'!J$2</f>
        <v>0</v>
      </c>
      <c r="K48">
        <f>'D-RP-1'!K$2</f>
        <v>0</v>
      </c>
      <c r="L48" t="str">
        <f>'D-RP-1'!L$2</f>
        <v>No Sales</v>
      </c>
      <c r="M48">
        <f>'D-RP-1'!M$2</f>
        <v>0</v>
      </c>
      <c r="N48" t="str">
        <f>'D-RP-1'!N$2</f>
        <v>Insufficient Data</v>
      </c>
      <c r="O48" t="str">
        <f>'D-RP-1'!O$2</f>
        <v>Insufficient Data</v>
      </c>
      <c r="P48" t="str">
        <f>'D-RP-1'!P$2</f>
        <v>Uncalculated</v>
      </c>
      <c r="Q48">
        <f t="shared" si="2"/>
        <v>0</v>
      </c>
      <c r="R48">
        <f t="shared" si="3"/>
        <v>0</v>
      </c>
      <c r="S48" t="s">
        <v>1852</v>
      </c>
      <c r="T48">
        <v>2014</v>
      </c>
      <c r="U48" t="str">
        <f>IF(Q8_TotalAssets_2014=0, "No Assets", Q8_NetInc_2014/Q8_TotalAssets_2014)</f>
        <v>No Assets</v>
      </c>
    </row>
    <row r="49" spans="1:21">
      <c r="A49">
        <f>'D-RP-1'!A$2</f>
        <v>0</v>
      </c>
      <c r="B49">
        <f>'D-RP-1'!B$2</f>
        <v>0</v>
      </c>
      <c r="C49">
        <f>'D-RP-1'!C$2</f>
        <v>0</v>
      </c>
      <c r="D49">
        <f>'D-RP-1'!D$2</f>
        <v>0</v>
      </c>
      <c r="E49">
        <f>'D-RP-1'!E$2</f>
        <v>0</v>
      </c>
      <c r="F49">
        <f>'D-RP-1'!F$2</f>
        <v>0</v>
      </c>
      <c r="G49">
        <f>'D-RP-1'!G$2</f>
        <v>0</v>
      </c>
      <c r="H49">
        <f>'D-RP-1'!H$2</f>
        <v>0</v>
      </c>
      <c r="I49">
        <f>'D-RP-1'!I$2</f>
        <v>0</v>
      </c>
      <c r="J49">
        <f>'D-RP-1'!J$2</f>
        <v>0</v>
      </c>
      <c r="K49">
        <f>'D-RP-1'!K$2</f>
        <v>0</v>
      </c>
      <c r="L49" t="str">
        <f>'D-RP-1'!L$2</f>
        <v>No Sales</v>
      </c>
      <c r="M49">
        <f>'D-RP-1'!M$2</f>
        <v>0</v>
      </c>
      <c r="N49" t="str">
        <f>'D-RP-1'!N$2</f>
        <v>Insufficient Data</v>
      </c>
      <c r="O49" t="str">
        <f>'D-RP-1'!O$2</f>
        <v>Insufficient Data</v>
      </c>
      <c r="P49" t="str">
        <f>'D-RP-1'!P$2</f>
        <v>Uncalculated</v>
      </c>
      <c r="Q49">
        <f t="shared" si="2"/>
        <v>0</v>
      </c>
      <c r="R49">
        <f t="shared" si="3"/>
        <v>0</v>
      </c>
      <c r="S49" t="s">
        <v>1853</v>
      </c>
      <c r="T49">
        <v>2014</v>
      </c>
      <c r="U49" t="str">
        <f>IF(Q8_TotalAssets_2014=0, "No Assets", Q8_EBIT_2014/Q8_TotalAssets_2014)</f>
        <v>No Assets</v>
      </c>
    </row>
    <row r="50" spans="1:21">
      <c r="A50">
        <f>'D-RP-1'!A$2</f>
        <v>0</v>
      </c>
      <c r="B50">
        <f>'D-RP-1'!B$2</f>
        <v>0</v>
      </c>
      <c r="C50">
        <f>'D-RP-1'!C$2</f>
        <v>0</v>
      </c>
      <c r="D50">
        <f>'D-RP-1'!D$2</f>
        <v>0</v>
      </c>
      <c r="E50">
        <f>'D-RP-1'!E$2</f>
        <v>0</v>
      </c>
      <c r="F50">
        <f>'D-RP-1'!F$2</f>
        <v>0</v>
      </c>
      <c r="G50">
        <f>'D-RP-1'!G$2</f>
        <v>0</v>
      </c>
      <c r="H50">
        <f>'D-RP-1'!H$2</f>
        <v>0</v>
      </c>
      <c r="I50">
        <f>'D-RP-1'!I$2</f>
        <v>0</v>
      </c>
      <c r="J50">
        <f>'D-RP-1'!J$2</f>
        <v>0</v>
      </c>
      <c r="K50">
        <f>'D-RP-1'!K$2</f>
        <v>0</v>
      </c>
      <c r="L50" t="str">
        <f>'D-RP-1'!L$2</f>
        <v>No Sales</v>
      </c>
      <c r="M50">
        <f>'D-RP-1'!M$2</f>
        <v>0</v>
      </c>
      <c r="N50" t="str">
        <f>'D-RP-1'!N$2</f>
        <v>Insufficient Data</v>
      </c>
      <c r="O50" t="str">
        <f>'D-RP-1'!O$2</f>
        <v>Insufficient Data</v>
      </c>
      <c r="P50" t="str">
        <f>'D-RP-1'!P$2</f>
        <v>Uncalculated</v>
      </c>
      <c r="Q50">
        <f t="shared" si="2"/>
        <v>0</v>
      </c>
      <c r="R50">
        <f t="shared" si="3"/>
        <v>0</v>
      </c>
      <c r="S50" t="s">
        <v>1854</v>
      </c>
      <c r="T50">
        <v>2014</v>
      </c>
      <c r="U50" t="str">
        <f>IF(Q8_OwnersEq_2014=0, "No Owner's Equity", Q8_NetInc_2014/Q8_OwnersEq_2014)</f>
        <v>No Owner's Equity</v>
      </c>
    </row>
    <row r="51" spans="1:21">
      <c r="A51">
        <f>'D-RP-1'!A$2</f>
        <v>0</v>
      </c>
      <c r="B51">
        <f>'D-RP-1'!B$2</f>
        <v>0</v>
      </c>
      <c r="C51">
        <f>'D-RP-1'!C$2</f>
        <v>0</v>
      </c>
      <c r="D51">
        <f>'D-RP-1'!D$2</f>
        <v>0</v>
      </c>
      <c r="E51">
        <f>'D-RP-1'!E$2</f>
        <v>0</v>
      </c>
      <c r="F51">
        <f>'D-RP-1'!F$2</f>
        <v>0</v>
      </c>
      <c r="G51">
        <f>'D-RP-1'!G$2</f>
        <v>0</v>
      </c>
      <c r="H51">
        <f>'D-RP-1'!H$2</f>
        <v>0</v>
      </c>
      <c r="I51">
        <f>'D-RP-1'!I$2</f>
        <v>0</v>
      </c>
      <c r="J51">
        <f>'D-RP-1'!J$2</f>
        <v>0</v>
      </c>
      <c r="K51">
        <f>'D-RP-1'!K$2</f>
        <v>0</v>
      </c>
      <c r="L51" t="str">
        <f>'D-RP-1'!L$2</f>
        <v>No Sales</v>
      </c>
      <c r="M51">
        <f>'D-RP-1'!M$2</f>
        <v>0</v>
      </c>
      <c r="N51" t="str">
        <f>'D-RP-1'!N$2</f>
        <v>Insufficient Data</v>
      </c>
      <c r="O51" t="str">
        <f>'D-RP-1'!O$2</f>
        <v>Insufficient Data</v>
      </c>
      <c r="P51" t="str">
        <f>'D-RP-1'!P$2</f>
        <v>Uncalculated</v>
      </c>
      <c r="Q51">
        <f t="shared" si="2"/>
        <v>0</v>
      </c>
      <c r="R51">
        <f t="shared" si="3"/>
        <v>0</v>
      </c>
      <c r="S51" t="s">
        <v>1855</v>
      </c>
      <c r="T51">
        <v>2014</v>
      </c>
      <c r="U51" t="str">
        <f>IF(Q8_NetSales_2014=0,"No Sales",(Q8_NetSales_2014-Q8_COGS_2014)/Q8_NetSales_2014)</f>
        <v>No Sales</v>
      </c>
    </row>
    <row r="52" spans="1:21">
      <c r="A52">
        <f>'D-RP-1'!A$2</f>
        <v>0</v>
      </c>
      <c r="B52">
        <f>'D-RP-1'!B$2</f>
        <v>0</v>
      </c>
      <c r="C52">
        <f>'D-RP-1'!C$2</f>
        <v>0</v>
      </c>
      <c r="D52">
        <f>'D-RP-1'!D$2</f>
        <v>0</v>
      </c>
      <c r="E52">
        <f>'D-RP-1'!E$2</f>
        <v>0</v>
      </c>
      <c r="F52">
        <f>'D-RP-1'!F$2</f>
        <v>0</v>
      </c>
      <c r="G52">
        <f>'D-RP-1'!G$2</f>
        <v>0</v>
      </c>
      <c r="H52">
        <f>'D-RP-1'!H$2</f>
        <v>0</v>
      </c>
      <c r="I52">
        <f>'D-RP-1'!I$2</f>
        <v>0</v>
      </c>
      <c r="J52">
        <f>'D-RP-1'!J$2</f>
        <v>0</v>
      </c>
      <c r="K52">
        <f>'D-RP-1'!K$2</f>
        <v>0</v>
      </c>
      <c r="L52" t="str">
        <f>'D-RP-1'!L$2</f>
        <v>No Sales</v>
      </c>
      <c r="M52">
        <f>'D-RP-1'!M$2</f>
        <v>0</v>
      </c>
      <c r="N52" t="str">
        <f>'D-RP-1'!N$2</f>
        <v>Insufficient Data</v>
      </c>
      <c r="O52" t="str">
        <f>'D-RP-1'!O$2</f>
        <v>Insufficient Data</v>
      </c>
      <c r="P52" t="str">
        <f>'D-RP-1'!P$2</f>
        <v>Uncalculated</v>
      </c>
      <c r="Q52">
        <f t="shared" si="2"/>
        <v>0</v>
      </c>
      <c r="R52">
        <f t="shared" si="3"/>
        <v>0</v>
      </c>
      <c r="S52" t="s">
        <v>1856</v>
      </c>
      <c r="T52">
        <v>2014</v>
      </c>
      <c r="U52" t="str">
        <f>IF(ISERROR(((Q8_CurrentAssets_2014-Q8_CurrentLiab_2014)/Q8_TotalAssets_2014)*0.717+(Q8_RetainedEarn_2014/Q8_TotalAssets_2014)*0.847+(Q8_EBIT_2014/Q8_TotalAssets_2014)*3.107+(Q8_OwnersEq_2014/Q8_TotalLiab_2014)*0.42+(Q8_NetSales_2014/Q8_TotalAssets_2014)*0.998), "Insufficient Data", ((Q8_CurrentAssets_2014-Q8_CurrentLiab_2014)/Q8_TotalAssets_2014)*0.717+(Q8_RetainedEarn_2014/Q8_TotalAssets_2014)*0.847+(Q8_EBIT_2014/Q8_TotalAssets_2014)*3.107+(Q8_OwnersEq_2014/Q8_TotalLiab_2014)*0.42+(Q8_NetSales_2014/Q8_TotalAssets_2014)*0.998)</f>
        <v>Insufficient Data</v>
      </c>
    </row>
    <row r="53" spans="1:21">
      <c r="A53">
        <f>'D-RP-1'!A$2</f>
        <v>0</v>
      </c>
      <c r="B53">
        <f>'D-RP-1'!B$2</f>
        <v>0</v>
      </c>
      <c r="C53">
        <f>'D-RP-1'!C$2</f>
        <v>0</v>
      </c>
      <c r="D53">
        <f>'D-RP-1'!D$2</f>
        <v>0</v>
      </c>
      <c r="E53">
        <f>'D-RP-1'!E$2</f>
        <v>0</v>
      </c>
      <c r="F53">
        <f>'D-RP-1'!F$2</f>
        <v>0</v>
      </c>
      <c r="G53">
        <f>'D-RP-1'!G$2</f>
        <v>0</v>
      </c>
      <c r="H53">
        <f>'D-RP-1'!H$2</f>
        <v>0</v>
      </c>
      <c r="I53">
        <f>'D-RP-1'!I$2</f>
        <v>0</v>
      </c>
      <c r="J53">
        <f>'D-RP-1'!J$2</f>
        <v>0</v>
      </c>
      <c r="K53">
        <f>'D-RP-1'!K$2</f>
        <v>0</v>
      </c>
      <c r="L53" t="str">
        <f>'D-RP-1'!L$2</f>
        <v>No Sales</v>
      </c>
      <c r="M53">
        <f>'D-RP-1'!M$2</f>
        <v>0</v>
      </c>
      <c r="N53" t="str">
        <f>'D-RP-1'!N$2</f>
        <v>Insufficient Data</v>
      </c>
      <c r="O53" t="str">
        <f>'D-RP-1'!O$2</f>
        <v>Insufficient Data</v>
      </c>
      <c r="P53" t="str">
        <f>'D-RP-1'!P$2</f>
        <v>Uncalculated</v>
      </c>
      <c r="Q53">
        <f t="shared" si="2"/>
        <v>0</v>
      </c>
      <c r="R53">
        <f t="shared" si="3"/>
        <v>0</v>
      </c>
      <c r="S53" t="s">
        <v>1857</v>
      </c>
      <c r="T53">
        <v>2014</v>
      </c>
      <c r="U53" t="str">
        <f>IF(ISERROR(((Q8_CurrentAssets_2014-Q8_CurrentLiab_2014)/Q8_TotalAssets_2014)*6.56+(Q8_RetainedEarn_2014/Q8_TotalAssets_2014)*3.26+(Q8_EBIT_2014/Q8_TotalAssets_2014)*6.72+(Q8_OwnersEq_2014/Q8_TotalLiab_2014)*1.05), "Insufficient Data", ((Q8_CurrentAssets_2014-Q8_CurrentLiab_2014)/Q8_TotalAssets_2014)*6.56+(Q8_RetainedEarn_2014/Q8_TotalAssets_2014)*3.26+(Q8_EBIT_2014/Q8_TotalAssets_2014)*6.72+(Q8_OwnersEq_2014/Q8_TotalLiab_2014)*1.05)</f>
        <v>Insufficient Data</v>
      </c>
    </row>
    <row r="54" spans="1:21">
      <c r="A54">
        <f>'D-RP-1'!A$2</f>
        <v>0</v>
      </c>
      <c r="B54">
        <f>'D-RP-1'!B$2</f>
        <v>0</v>
      </c>
      <c r="C54">
        <f>'D-RP-1'!C$2</f>
        <v>0</v>
      </c>
      <c r="D54">
        <f>'D-RP-1'!D$2</f>
        <v>0</v>
      </c>
      <c r="E54">
        <f>'D-RP-1'!E$2</f>
        <v>0</v>
      </c>
      <c r="F54">
        <f>'D-RP-1'!F$2</f>
        <v>0</v>
      </c>
      <c r="G54">
        <f>'D-RP-1'!G$2</f>
        <v>0</v>
      </c>
      <c r="H54">
        <f>'D-RP-1'!H$2</f>
        <v>0</v>
      </c>
      <c r="I54">
        <f>'D-RP-1'!I$2</f>
        <v>0</v>
      </c>
      <c r="J54">
        <f>'D-RP-1'!J$2</f>
        <v>0</v>
      </c>
      <c r="K54">
        <f>'D-RP-1'!K$2</f>
        <v>0</v>
      </c>
      <c r="L54" t="str">
        <f>'D-RP-1'!L$2</f>
        <v>No Sales</v>
      </c>
      <c r="M54">
        <f>'D-RP-1'!M$2</f>
        <v>0</v>
      </c>
      <c r="N54" t="str">
        <f>'D-RP-1'!N$2</f>
        <v>Insufficient Data</v>
      </c>
      <c r="O54" t="str">
        <f>'D-RP-1'!O$2</f>
        <v>Insufficient Data</v>
      </c>
      <c r="P54" t="str">
        <f>'D-RP-1'!P$2</f>
        <v>Uncalculated</v>
      </c>
      <c r="Q54">
        <f t="shared" si="2"/>
        <v>0</v>
      </c>
      <c r="R54">
        <f t="shared" si="3"/>
        <v>0</v>
      </c>
      <c r="S54" t="s">
        <v>1858</v>
      </c>
      <c r="T54">
        <v>2014</v>
      </c>
      <c r="U54" t="str">
        <f>IF(Q8_Inv_2014=0, "No Inventory", Q8_NetSales_2014/Q8_Inv_2014)</f>
        <v>No Inventory</v>
      </c>
    </row>
    <row r="55" spans="1:21">
      <c r="A55">
        <f>'D-RP-1'!A$2</f>
        <v>0</v>
      </c>
      <c r="B55">
        <f>'D-RP-1'!B$2</f>
        <v>0</v>
      </c>
      <c r="C55">
        <f>'D-RP-1'!C$2</f>
        <v>0</v>
      </c>
      <c r="D55">
        <f>'D-RP-1'!D$2</f>
        <v>0</v>
      </c>
      <c r="E55">
        <f>'D-RP-1'!E$2</f>
        <v>0</v>
      </c>
      <c r="F55">
        <f>'D-RP-1'!F$2</f>
        <v>0</v>
      </c>
      <c r="G55">
        <f>'D-RP-1'!G$2</f>
        <v>0</v>
      </c>
      <c r="H55">
        <f>'D-RP-1'!H$2</f>
        <v>0</v>
      </c>
      <c r="I55">
        <f>'D-RP-1'!I$2</f>
        <v>0</v>
      </c>
      <c r="J55">
        <f>'D-RP-1'!J$2</f>
        <v>0</v>
      </c>
      <c r="K55">
        <f>'D-RP-1'!K$2</f>
        <v>0</v>
      </c>
      <c r="L55" t="str">
        <f>'D-RP-1'!L$2</f>
        <v>No Sales</v>
      </c>
      <c r="M55">
        <f>'D-RP-1'!M$2</f>
        <v>0</v>
      </c>
      <c r="N55" t="str">
        <f>'D-RP-1'!N$2</f>
        <v>Insufficient Data</v>
      </c>
      <c r="O55" t="str">
        <f>'D-RP-1'!O$2</f>
        <v>Insufficient Data</v>
      </c>
      <c r="P55" t="str">
        <f>'D-RP-1'!P$2</f>
        <v>Uncalculated</v>
      </c>
      <c r="Q55">
        <f t="shared" si="2"/>
        <v>0</v>
      </c>
      <c r="R55">
        <f t="shared" si="3"/>
        <v>0</v>
      </c>
      <c r="S55" t="s">
        <v>1859</v>
      </c>
      <c r="T55">
        <v>2014</v>
      </c>
      <c r="U55" t="str">
        <f>IF(Q8_NetSales_2014=0, "No Sales", Q8_OpInc_2014/Q8_NetSales_2014)</f>
        <v>No Sales</v>
      </c>
    </row>
    <row r="56" spans="1:21">
      <c r="A56">
        <f>'D-RP-1'!A$2</f>
        <v>0</v>
      </c>
      <c r="B56">
        <f>'D-RP-1'!B$2</f>
        <v>0</v>
      </c>
      <c r="C56">
        <f>'D-RP-1'!C$2</f>
        <v>0</v>
      </c>
      <c r="D56">
        <f>'D-RP-1'!D$2</f>
        <v>0</v>
      </c>
      <c r="E56">
        <f>'D-RP-1'!E$2</f>
        <v>0</v>
      </c>
      <c r="F56">
        <f>'D-RP-1'!F$2</f>
        <v>0</v>
      </c>
      <c r="G56">
        <f>'D-RP-1'!G$2</f>
        <v>0</v>
      </c>
      <c r="H56">
        <f>'D-RP-1'!H$2</f>
        <v>0</v>
      </c>
      <c r="I56">
        <f>'D-RP-1'!I$2</f>
        <v>0</v>
      </c>
      <c r="J56">
        <f>'D-RP-1'!J$2</f>
        <v>0</v>
      </c>
      <c r="K56">
        <f>'D-RP-1'!K$2</f>
        <v>0</v>
      </c>
      <c r="L56" t="str">
        <f>'D-RP-1'!L$2</f>
        <v>No Sales</v>
      </c>
      <c r="M56">
        <f>'D-RP-1'!M$2</f>
        <v>0</v>
      </c>
      <c r="N56" t="str">
        <f>'D-RP-1'!N$2</f>
        <v>Insufficient Data</v>
      </c>
      <c r="O56" t="str">
        <f>'D-RP-1'!O$2</f>
        <v>Insufficient Data</v>
      </c>
      <c r="P56" t="str">
        <f>'D-RP-1'!P$2</f>
        <v>Uncalculated</v>
      </c>
      <c r="Q56">
        <f t="shared" si="2"/>
        <v>0</v>
      </c>
      <c r="R56">
        <f t="shared" si="3"/>
        <v>0</v>
      </c>
      <c r="S56" t="s">
        <v>1860</v>
      </c>
      <c r="T56">
        <v>2014</v>
      </c>
      <c r="U56" t="str">
        <f>IF(Q8_NetSales_2014=0, "No Sales", Q8_EBIT_2014/Q8_NetSales_2014)</f>
        <v>No Sales</v>
      </c>
    </row>
    <row r="57" spans="1:21">
      <c r="A57">
        <f>'D-RP-1'!A$2</f>
        <v>0</v>
      </c>
      <c r="B57">
        <f>'D-RP-1'!B$2</f>
        <v>0</v>
      </c>
      <c r="C57">
        <f>'D-RP-1'!C$2</f>
        <v>0</v>
      </c>
      <c r="D57">
        <f>'D-RP-1'!D$2</f>
        <v>0</v>
      </c>
      <c r="E57">
        <f>'D-RP-1'!E$2</f>
        <v>0</v>
      </c>
      <c r="F57">
        <f>'D-RP-1'!F$2</f>
        <v>0</v>
      </c>
      <c r="G57">
        <f>'D-RP-1'!G$2</f>
        <v>0</v>
      </c>
      <c r="H57">
        <f>'D-RP-1'!H$2</f>
        <v>0</v>
      </c>
      <c r="I57">
        <f>'D-RP-1'!I$2</f>
        <v>0</v>
      </c>
      <c r="J57">
        <f>'D-RP-1'!J$2</f>
        <v>0</v>
      </c>
      <c r="K57">
        <f>'D-RP-1'!K$2</f>
        <v>0</v>
      </c>
      <c r="L57" t="str">
        <f>'D-RP-1'!L$2</f>
        <v>No Sales</v>
      </c>
      <c r="M57">
        <f>'D-RP-1'!M$2</f>
        <v>0</v>
      </c>
      <c r="N57" t="str">
        <f>'D-RP-1'!N$2</f>
        <v>Insufficient Data</v>
      </c>
      <c r="O57" t="str">
        <f>'D-RP-1'!O$2</f>
        <v>Insufficient Data</v>
      </c>
      <c r="P57" t="str">
        <f>'D-RP-1'!P$2</f>
        <v>Uncalculated</v>
      </c>
      <c r="Q57">
        <f t="shared" si="2"/>
        <v>0</v>
      </c>
      <c r="R57">
        <f t="shared" si="3"/>
        <v>0</v>
      </c>
      <c r="S57" t="s">
        <v>1861</v>
      </c>
      <c r="T57">
        <v>2014</v>
      </c>
      <c r="U57" t="str">
        <f>IF(Q11a_FTE_Total_2014=0, "No Employees", Q8_NetSales_2014/Q11a_FTE_Total_2014)</f>
        <v>No Employees</v>
      </c>
    </row>
    <row r="58" spans="1:21">
      <c r="A58">
        <f>'D-RP-1'!A$2</f>
        <v>0</v>
      </c>
      <c r="B58">
        <f>'D-RP-1'!B$2</f>
        <v>0</v>
      </c>
      <c r="C58">
        <f>'D-RP-1'!C$2</f>
        <v>0</v>
      </c>
      <c r="D58">
        <f>'D-RP-1'!D$2</f>
        <v>0</v>
      </c>
      <c r="E58">
        <f>'D-RP-1'!E$2</f>
        <v>0</v>
      </c>
      <c r="F58">
        <f>'D-RP-1'!F$2</f>
        <v>0</v>
      </c>
      <c r="G58">
        <f>'D-RP-1'!G$2</f>
        <v>0</v>
      </c>
      <c r="H58">
        <f>'D-RP-1'!H$2</f>
        <v>0</v>
      </c>
      <c r="I58">
        <f>'D-RP-1'!I$2</f>
        <v>0</v>
      </c>
      <c r="J58">
        <f>'D-RP-1'!J$2</f>
        <v>0</v>
      </c>
      <c r="K58">
        <f>'D-RP-1'!K$2</f>
        <v>0</v>
      </c>
      <c r="L58" t="str">
        <f>'D-RP-1'!L$2</f>
        <v>No Sales</v>
      </c>
      <c r="M58">
        <f>'D-RP-1'!M$2</f>
        <v>0</v>
      </c>
      <c r="N58" t="str">
        <f>'D-RP-1'!N$2</f>
        <v>Insufficient Data</v>
      </c>
      <c r="O58" t="str">
        <f>'D-RP-1'!O$2</f>
        <v>Insufficient Data</v>
      </c>
      <c r="P58" t="str">
        <f>'D-RP-1'!P$2</f>
        <v>Uncalculated</v>
      </c>
      <c r="Q58">
        <f t="shared" si="2"/>
        <v>0</v>
      </c>
      <c r="R58">
        <f t="shared" si="3"/>
        <v>0</v>
      </c>
      <c r="S58" t="s">
        <v>1862</v>
      </c>
      <c r="T58">
        <v>2014</v>
      </c>
      <c r="U58" t="str">
        <f>IF(Q8_NetSales_2014=0, "No Sales", Q11_Expend_Total_2014/Q8_NetSales_2014)</f>
        <v>No Sales</v>
      </c>
    </row>
    <row r="59" spans="1:21">
      <c r="A59">
        <f>'D-RP-1'!A$2</f>
        <v>0</v>
      </c>
      <c r="B59">
        <f>'D-RP-1'!B$2</f>
        <v>0</v>
      </c>
      <c r="C59">
        <f>'D-RP-1'!C$2</f>
        <v>0</v>
      </c>
      <c r="D59">
        <f>'D-RP-1'!D$2</f>
        <v>0</v>
      </c>
      <c r="E59">
        <f>'D-RP-1'!E$2</f>
        <v>0</v>
      </c>
      <c r="F59">
        <f>'D-RP-1'!F$2</f>
        <v>0</v>
      </c>
      <c r="G59">
        <f>'D-RP-1'!G$2</f>
        <v>0</v>
      </c>
      <c r="H59">
        <f>'D-RP-1'!H$2</f>
        <v>0</v>
      </c>
      <c r="I59">
        <f>'D-RP-1'!I$2</f>
        <v>0</v>
      </c>
      <c r="J59">
        <f>'D-RP-1'!J$2</f>
        <v>0</v>
      </c>
      <c r="K59">
        <f>'D-RP-1'!K$2</f>
        <v>0</v>
      </c>
      <c r="L59" t="str">
        <f>'D-RP-1'!L$2</f>
        <v>No Sales</v>
      </c>
      <c r="M59">
        <f>'D-RP-1'!M$2</f>
        <v>0</v>
      </c>
      <c r="N59" t="str">
        <f>'D-RP-1'!N$2</f>
        <v>Insufficient Data</v>
      </c>
      <c r="O59" t="str">
        <f>'D-RP-1'!O$2</f>
        <v>Insufficient Data</v>
      </c>
      <c r="P59" t="str">
        <f>'D-RP-1'!P$2</f>
        <v>Uncalculated</v>
      </c>
      <c r="Q59">
        <f t="shared" si="2"/>
        <v>0</v>
      </c>
      <c r="R59">
        <f t="shared" si="3"/>
        <v>0</v>
      </c>
      <c r="S59" t="s">
        <v>1844</v>
      </c>
      <c r="T59">
        <v>2015</v>
      </c>
      <c r="U59" t="str">
        <f>IF(Q8_CurrentLiab_2015=0, "No Current Liabilities", Q8_CurrentAssets_2015/Q8_CurrentLiab_2015)</f>
        <v>No Current Liabilities</v>
      </c>
    </row>
    <row r="60" spans="1:21">
      <c r="A60">
        <f>'D-RP-1'!A$2</f>
        <v>0</v>
      </c>
      <c r="B60">
        <f>'D-RP-1'!B$2</f>
        <v>0</v>
      </c>
      <c r="C60">
        <f>'D-RP-1'!C$2</f>
        <v>0</v>
      </c>
      <c r="D60">
        <f>'D-RP-1'!D$2</f>
        <v>0</v>
      </c>
      <c r="E60">
        <f>'D-RP-1'!E$2</f>
        <v>0</v>
      </c>
      <c r="F60">
        <f>'D-RP-1'!F$2</f>
        <v>0</v>
      </c>
      <c r="G60">
        <f>'D-RP-1'!G$2</f>
        <v>0</v>
      </c>
      <c r="H60">
        <f>'D-RP-1'!H$2</f>
        <v>0</v>
      </c>
      <c r="I60">
        <f>'D-RP-1'!I$2</f>
        <v>0</v>
      </c>
      <c r="J60">
        <f>'D-RP-1'!J$2</f>
        <v>0</v>
      </c>
      <c r="K60">
        <f>'D-RP-1'!K$2</f>
        <v>0</v>
      </c>
      <c r="L60" t="str">
        <f>'D-RP-1'!L$2</f>
        <v>No Sales</v>
      </c>
      <c r="M60">
        <f>'D-RP-1'!M$2</f>
        <v>0</v>
      </c>
      <c r="N60" t="str">
        <f>'D-RP-1'!N$2</f>
        <v>Insufficient Data</v>
      </c>
      <c r="O60" t="str">
        <f>'D-RP-1'!O$2</f>
        <v>Insufficient Data</v>
      </c>
      <c r="P60" t="str">
        <f>'D-RP-1'!P$2</f>
        <v>Uncalculated</v>
      </c>
      <c r="Q60">
        <f t="shared" si="2"/>
        <v>0</v>
      </c>
      <c r="R60">
        <f t="shared" si="3"/>
        <v>0</v>
      </c>
      <c r="S60" t="s">
        <v>1845</v>
      </c>
      <c r="T60">
        <v>2015</v>
      </c>
      <c r="U60" t="str">
        <f>IF(Q8_CurrentLiab_2015=0, "No Current Liabilities", (Q8_CurrentAssets_2015-Q8_Inv_2015)/Q8_CurrentLiab_2015)</f>
        <v>No Current Liabilities</v>
      </c>
    </row>
    <row r="61" spans="1:21">
      <c r="A61">
        <f>'D-RP-1'!A$2</f>
        <v>0</v>
      </c>
      <c r="B61">
        <f>'D-RP-1'!B$2</f>
        <v>0</v>
      </c>
      <c r="C61">
        <f>'D-RP-1'!C$2</f>
        <v>0</v>
      </c>
      <c r="D61">
        <f>'D-RP-1'!D$2</f>
        <v>0</v>
      </c>
      <c r="E61">
        <f>'D-RP-1'!E$2</f>
        <v>0</v>
      </c>
      <c r="F61">
        <f>'D-RP-1'!F$2</f>
        <v>0</v>
      </c>
      <c r="G61">
        <f>'D-RP-1'!G$2</f>
        <v>0</v>
      </c>
      <c r="H61">
        <f>'D-RP-1'!H$2</f>
        <v>0</v>
      </c>
      <c r="I61">
        <f>'D-RP-1'!I$2</f>
        <v>0</v>
      </c>
      <c r="J61">
        <f>'D-RP-1'!J$2</f>
        <v>0</v>
      </c>
      <c r="K61">
        <f>'D-RP-1'!K$2</f>
        <v>0</v>
      </c>
      <c r="L61" t="str">
        <f>'D-RP-1'!L$2</f>
        <v>No Sales</v>
      </c>
      <c r="M61">
        <f>'D-RP-1'!M$2</f>
        <v>0</v>
      </c>
      <c r="N61" t="str">
        <f>'D-RP-1'!N$2</f>
        <v>Insufficient Data</v>
      </c>
      <c r="O61" t="str">
        <f>'D-RP-1'!O$2</f>
        <v>Insufficient Data</v>
      </c>
      <c r="P61" t="str">
        <f>'D-RP-1'!P$2</f>
        <v>Uncalculated</v>
      </c>
      <c r="Q61">
        <f t="shared" si="2"/>
        <v>0</v>
      </c>
      <c r="R61">
        <f t="shared" si="3"/>
        <v>0</v>
      </c>
      <c r="S61" t="s">
        <v>1846</v>
      </c>
      <c r="T61">
        <v>2015</v>
      </c>
      <c r="U61" t="str">
        <f>IF(Q8_TotalAssets_2015=0, "No Assets", Q8_NetSales_2015/Q8_TotalAssets_2015)</f>
        <v>No Assets</v>
      </c>
    </row>
    <row r="62" spans="1:21">
      <c r="A62">
        <f>'D-RP-1'!A$2</f>
        <v>0</v>
      </c>
      <c r="B62">
        <f>'D-RP-1'!B$2</f>
        <v>0</v>
      </c>
      <c r="C62">
        <f>'D-RP-1'!C$2</f>
        <v>0</v>
      </c>
      <c r="D62">
        <f>'D-RP-1'!D$2</f>
        <v>0</v>
      </c>
      <c r="E62">
        <f>'D-RP-1'!E$2</f>
        <v>0</v>
      </c>
      <c r="F62">
        <f>'D-RP-1'!F$2</f>
        <v>0</v>
      </c>
      <c r="G62">
        <f>'D-RP-1'!G$2</f>
        <v>0</v>
      </c>
      <c r="H62">
        <f>'D-RP-1'!H$2</f>
        <v>0</v>
      </c>
      <c r="I62">
        <f>'D-RP-1'!I$2</f>
        <v>0</v>
      </c>
      <c r="J62">
        <f>'D-RP-1'!J$2</f>
        <v>0</v>
      </c>
      <c r="K62">
        <f>'D-RP-1'!K$2</f>
        <v>0</v>
      </c>
      <c r="L62" t="str">
        <f>'D-RP-1'!L$2</f>
        <v>No Sales</v>
      </c>
      <c r="M62">
        <f>'D-RP-1'!M$2</f>
        <v>0</v>
      </c>
      <c r="N62" t="str">
        <f>'D-RP-1'!N$2</f>
        <v>Insufficient Data</v>
      </c>
      <c r="O62" t="str">
        <f>'D-RP-1'!O$2</f>
        <v>Insufficient Data</v>
      </c>
      <c r="P62" t="str">
        <f>'D-RP-1'!P$2</f>
        <v>Uncalculated</v>
      </c>
      <c r="Q62">
        <f t="shared" si="2"/>
        <v>0</v>
      </c>
      <c r="R62">
        <f t="shared" si="3"/>
        <v>0</v>
      </c>
      <c r="S62" t="s">
        <v>1847</v>
      </c>
      <c r="T62">
        <v>2015</v>
      </c>
      <c r="U62" t="str">
        <f>IF(Q8_Inv_2015=0, "No Inventory", Q8_COGS_2015/Q8_Inv_2015)</f>
        <v>No Inventory</v>
      </c>
    </row>
    <row r="63" spans="1:21">
      <c r="A63">
        <f>'D-RP-1'!A$2</f>
        <v>0</v>
      </c>
      <c r="B63">
        <f>'D-RP-1'!B$2</f>
        <v>0</v>
      </c>
      <c r="C63">
        <f>'D-RP-1'!C$2</f>
        <v>0</v>
      </c>
      <c r="D63">
        <f>'D-RP-1'!D$2</f>
        <v>0</v>
      </c>
      <c r="E63">
        <f>'D-RP-1'!E$2</f>
        <v>0</v>
      </c>
      <c r="F63">
        <f>'D-RP-1'!F$2</f>
        <v>0</v>
      </c>
      <c r="G63">
        <f>'D-RP-1'!G$2</f>
        <v>0</v>
      </c>
      <c r="H63">
        <f>'D-RP-1'!H$2</f>
        <v>0</v>
      </c>
      <c r="I63">
        <f>'D-RP-1'!I$2</f>
        <v>0</v>
      </c>
      <c r="J63">
        <f>'D-RP-1'!J$2</f>
        <v>0</v>
      </c>
      <c r="K63">
        <f>'D-RP-1'!K$2</f>
        <v>0</v>
      </c>
      <c r="L63" t="str">
        <f>'D-RP-1'!L$2</f>
        <v>No Sales</v>
      </c>
      <c r="M63">
        <f>'D-RP-1'!M$2</f>
        <v>0</v>
      </c>
      <c r="N63" t="str">
        <f>'D-RP-1'!N$2</f>
        <v>Insufficient Data</v>
      </c>
      <c r="O63" t="str">
        <f>'D-RP-1'!O$2</f>
        <v>Insufficient Data</v>
      </c>
      <c r="P63" t="str">
        <f>'D-RP-1'!P$2</f>
        <v>Uncalculated</v>
      </c>
      <c r="Q63">
        <f t="shared" si="2"/>
        <v>0</v>
      </c>
      <c r="R63">
        <f t="shared" si="3"/>
        <v>0</v>
      </c>
      <c r="S63" t="s">
        <v>1848</v>
      </c>
      <c r="T63">
        <v>2015</v>
      </c>
      <c r="U63" t="str">
        <f>IF(Q8_TotalAssets_2015=0, "No Assets", Q8_TotalLiab_2015/Q8_TotalAssets_2015)</f>
        <v>No Assets</v>
      </c>
    </row>
    <row r="64" spans="1:21">
      <c r="A64">
        <f>'D-RP-1'!A$2</f>
        <v>0</v>
      </c>
      <c r="B64">
        <f>'D-RP-1'!B$2</f>
        <v>0</v>
      </c>
      <c r="C64">
        <f>'D-RP-1'!C$2</f>
        <v>0</v>
      </c>
      <c r="D64">
        <f>'D-RP-1'!D$2</f>
        <v>0</v>
      </c>
      <c r="E64">
        <f>'D-RP-1'!E$2</f>
        <v>0</v>
      </c>
      <c r="F64">
        <f>'D-RP-1'!F$2</f>
        <v>0</v>
      </c>
      <c r="G64">
        <f>'D-RP-1'!G$2</f>
        <v>0</v>
      </c>
      <c r="H64">
        <f>'D-RP-1'!H$2</f>
        <v>0</v>
      </c>
      <c r="I64">
        <f>'D-RP-1'!I$2</f>
        <v>0</v>
      </c>
      <c r="J64">
        <f>'D-RP-1'!J$2</f>
        <v>0</v>
      </c>
      <c r="K64">
        <f>'D-RP-1'!K$2</f>
        <v>0</v>
      </c>
      <c r="L64" t="str">
        <f>'D-RP-1'!L$2</f>
        <v>No Sales</v>
      </c>
      <c r="M64">
        <f>'D-RP-1'!M$2</f>
        <v>0</v>
      </c>
      <c r="N64" t="str">
        <f>'D-RP-1'!N$2</f>
        <v>Insufficient Data</v>
      </c>
      <c r="O64" t="str">
        <f>'D-RP-1'!O$2</f>
        <v>Insufficient Data</v>
      </c>
      <c r="P64" t="str">
        <f>'D-RP-1'!P$2</f>
        <v>Uncalculated</v>
      </c>
      <c r="Q64">
        <f t="shared" si="2"/>
        <v>0</v>
      </c>
      <c r="R64">
        <f t="shared" si="3"/>
        <v>0</v>
      </c>
      <c r="S64" t="s">
        <v>1849</v>
      </c>
      <c r="T64">
        <v>2015</v>
      </c>
      <c r="U64" t="str">
        <f>IF(Q8_OwnersEq_2015=0, "No Owner's Equity", Q8_TotalLiab_2015/Q8_OwnersEq_2015)</f>
        <v>No Owner's Equity</v>
      </c>
    </row>
    <row r="65" spans="1:21">
      <c r="A65">
        <f>'D-RP-1'!A$2</f>
        <v>0</v>
      </c>
      <c r="B65">
        <f>'D-RP-1'!B$2</f>
        <v>0</v>
      </c>
      <c r="C65">
        <f>'D-RP-1'!C$2</f>
        <v>0</v>
      </c>
      <c r="D65">
        <f>'D-RP-1'!D$2</f>
        <v>0</v>
      </c>
      <c r="E65">
        <f>'D-RP-1'!E$2</f>
        <v>0</v>
      </c>
      <c r="F65">
        <f>'D-RP-1'!F$2</f>
        <v>0</v>
      </c>
      <c r="G65">
        <f>'D-RP-1'!G$2</f>
        <v>0</v>
      </c>
      <c r="H65">
        <f>'D-RP-1'!H$2</f>
        <v>0</v>
      </c>
      <c r="I65">
        <f>'D-RP-1'!I$2</f>
        <v>0</v>
      </c>
      <c r="J65">
        <f>'D-RP-1'!J$2</f>
        <v>0</v>
      </c>
      <c r="K65">
        <f>'D-RP-1'!K$2</f>
        <v>0</v>
      </c>
      <c r="L65" t="str">
        <f>'D-RP-1'!L$2</f>
        <v>No Sales</v>
      </c>
      <c r="M65">
        <f>'D-RP-1'!M$2</f>
        <v>0</v>
      </c>
      <c r="N65" t="str">
        <f>'D-RP-1'!N$2</f>
        <v>Insufficient Data</v>
      </c>
      <c r="O65" t="str">
        <f>'D-RP-1'!O$2</f>
        <v>Insufficient Data</v>
      </c>
      <c r="P65" t="str">
        <f>'D-RP-1'!P$2</f>
        <v>Uncalculated</v>
      </c>
      <c r="Q65">
        <f t="shared" si="2"/>
        <v>0</v>
      </c>
      <c r="R65">
        <f t="shared" si="3"/>
        <v>0</v>
      </c>
      <c r="S65" t="s">
        <v>1850</v>
      </c>
      <c r="T65">
        <v>2015</v>
      </c>
      <c r="U65" t="str">
        <f>IF(Q8_OwnersEq_2015=0, "No Owner's Equity", Q8_TotalAssets_2015/Q8_OwnersEq_2015)</f>
        <v>No Owner's Equity</v>
      </c>
    </row>
    <row r="66" spans="1:21">
      <c r="A66">
        <f>'D-RP-1'!A$2</f>
        <v>0</v>
      </c>
      <c r="B66">
        <f>'D-RP-1'!B$2</f>
        <v>0</v>
      </c>
      <c r="C66">
        <f>'D-RP-1'!C$2</f>
        <v>0</v>
      </c>
      <c r="D66">
        <f>'D-RP-1'!D$2</f>
        <v>0</v>
      </c>
      <c r="E66">
        <f>'D-RP-1'!E$2</f>
        <v>0</v>
      </c>
      <c r="F66">
        <f>'D-RP-1'!F$2</f>
        <v>0</v>
      </c>
      <c r="G66">
        <f>'D-RP-1'!G$2</f>
        <v>0</v>
      </c>
      <c r="H66">
        <f>'D-RP-1'!H$2</f>
        <v>0</v>
      </c>
      <c r="I66">
        <f>'D-RP-1'!I$2</f>
        <v>0</v>
      </c>
      <c r="J66">
        <f>'D-RP-1'!J$2</f>
        <v>0</v>
      </c>
      <c r="K66">
        <f>'D-RP-1'!K$2</f>
        <v>0</v>
      </c>
      <c r="L66" t="str">
        <f>'D-RP-1'!L$2</f>
        <v>No Sales</v>
      </c>
      <c r="M66">
        <f>'D-RP-1'!M$2</f>
        <v>0</v>
      </c>
      <c r="N66" t="str">
        <f>'D-RP-1'!N$2</f>
        <v>Insufficient Data</v>
      </c>
      <c r="O66" t="str">
        <f>'D-RP-1'!O$2</f>
        <v>Insufficient Data</v>
      </c>
      <c r="P66" t="str">
        <f>'D-RP-1'!P$2</f>
        <v>Uncalculated</v>
      </c>
      <c r="Q66">
        <f t="shared" ref="Q66:Q77" si="4">Q8_IS_Schedule</f>
        <v>0</v>
      </c>
      <c r="R66">
        <f t="shared" ref="R66:R77" si="5">Q8_IS_Source</f>
        <v>0</v>
      </c>
      <c r="S66" t="s">
        <v>1851</v>
      </c>
      <c r="T66">
        <v>2015</v>
      </c>
      <c r="U66" t="str">
        <f>IF(Q8_NetSales_2015=0, "No Sales", Q8_NetInc_2015/Q8_NetSales_2015)</f>
        <v>No Sales</v>
      </c>
    </row>
    <row r="67" spans="1:21">
      <c r="A67">
        <f>'D-RP-1'!A$2</f>
        <v>0</v>
      </c>
      <c r="B67">
        <f>'D-RP-1'!B$2</f>
        <v>0</v>
      </c>
      <c r="C67">
        <f>'D-RP-1'!C$2</f>
        <v>0</v>
      </c>
      <c r="D67">
        <f>'D-RP-1'!D$2</f>
        <v>0</v>
      </c>
      <c r="E67">
        <f>'D-RP-1'!E$2</f>
        <v>0</v>
      </c>
      <c r="F67">
        <f>'D-RP-1'!F$2</f>
        <v>0</v>
      </c>
      <c r="G67">
        <f>'D-RP-1'!G$2</f>
        <v>0</v>
      </c>
      <c r="H67">
        <f>'D-RP-1'!H$2</f>
        <v>0</v>
      </c>
      <c r="I67">
        <f>'D-RP-1'!I$2</f>
        <v>0</v>
      </c>
      <c r="J67">
        <f>'D-RP-1'!J$2</f>
        <v>0</v>
      </c>
      <c r="K67">
        <f>'D-RP-1'!K$2</f>
        <v>0</v>
      </c>
      <c r="L67" t="str">
        <f>'D-RP-1'!L$2</f>
        <v>No Sales</v>
      </c>
      <c r="M67">
        <f>'D-RP-1'!M$2</f>
        <v>0</v>
      </c>
      <c r="N67" t="str">
        <f>'D-RP-1'!N$2</f>
        <v>Insufficient Data</v>
      </c>
      <c r="O67" t="str">
        <f>'D-RP-1'!O$2</f>
        <v>Insufficient Data</v>
      </c>
      <c r="P67" t="str">
        <f>'D-RP-1'!P$2</f>
        <v>Uncalculated</v>
      </c>
      <c r="Q67">
        <f t="shared" si="4"/>
        <v>0</v>
      </c>
      <c r="R67">
        <f t="shared" si="5"/>
        <v>0</v>
      </c>
      <c r="S67" t="s">
        <v>1852</v>
      </c>
      <c r="T67">
        <v>2015</v>
      </c>
      <c r="U67" t="str">
        <f>IF(Q8_TotalAssets_2015=0, "No Assets", Q8_NetInc_2015/Q8_TotalAssets_2015)</f>
        <v>No Assets</v>
      </c>
    </row>
    <row r="68" spans="1:21">
      <c r="A68">
        <f>'D-RP-1'!A$2</f>
        <v>0</v>
      </c>
      <c r="B68">
        <f>'D-RP-1'!B$2</f>
        <v>0</v>
      </c>
      <c r="C68">
        <f>'D-RP-1'!C$2</f>
        <v>0</v>
      </c>
      <c r="D68">
        <f>'D-RP-1'!D$2</f>
        <v>0</v>
      </c>
      <c r="E68">
        <f>'D-RP-1'!E$2</f>
        <v>0</v>
      </c>
      <c r="F68">
        <f>'D-RP-1'!F$2</f>
        <v>0</v>
      </c>
      <c r="G68">
        <f>'D-RP-1'!G$2</f>
        <v>0</v>
      </c>
      <c r="H68">
        <f>'D-RP-1'!H$2</f>
        <v>0</v>
      </c>
      <c r="I68">
        <f>'D-RP-1'!I$2</f>
        <v>0</v>
      </c>
      <c r="J68">
        <f>'D-RP-1'!J$2</f>
        <v>0</v>
      </c>
      <c r="K68">
        <f>'D-RP-1'!K$2</f>
        <v>0</v>
      </c>
      <c r="L68" t="str">
        <f>'D-RP-1'!L$2</f>
        <v>No Sales</v>
      </c>
      <c r="M68">
        <f>'D-RP-1'!M$2</f>
        <v>0</v>
      </c>
      <c r="N68" t="str">
        <f>'D-RP-1'!N$2</f>
        <v>Insufficient Data</v>
      </c>
      <c r="O68" t="str">
        <f>'D-RP-1'!O$2</f>
        <v>Insufficient Data</v>
      </c>
      <c r="P68" t="str">
        <f>'D-RP-1'!P$2</f>
        <v>Uncalculated</v>
      </c>
      <c r="Q68">
        <f t="shared" si="4"/>
        <v>0</v>
      </c>
      <c r="R68">
        <f t="shared" si="5"/>
        <v>0</v>
      </c>
      <c r="S68" t="s">
        <v>1853</v>
      </c>
      <c r="T68">
        <v>2015</v>
      </c>
      <c r="U68" t="str">
        <f>IF(Q8_TotalAssets_2015=0, "No Assets", Q8_EBIT_2015/Q8_TotalAssets_2015)</f>
        <v>No Assets</v>
      </c>
    </row>
    <row r="69" spans="1:21">
      <c r="A69">
        <f>'D-RP-1'!A$2</f>
        <v>0</v>
      </c>
      <c r="B69">
        <f>'D-RP-1'!B$2</f>
        <v>0</v>
      </c>
      <c r="C69">
        <f>'D-RP-1'!C$2</f>
        <v>0</v>
      </c>
      <c r="D69">
        <f>'D-RP-1'!D$2</f>
        <v>0</v>
      </c>
      <c r="E69">
        <f>'D-RP-1'!E$2</f>
        <v>0</v>
      </c>
      <c r="F69">
        <f>'D-RP-1'!F$2</f>
        <v>0</v>
      </c>
      <c r="G69">
        <f>'D-RP-1'!G$2</f>
        <v>0</v>
      </c>
      <c r="H69">
        <f>'D-RP-1'!H$2</f>
        <v>0</v>
      </c>
      <c r="I69">
        <f>'D-RP-1'!I$2</f>
        <v>0</v>
      </c>
      <c r="J69">
        <f>'D-RP-1'!J$2</f>
        <v>0</v>
      </c>
      <c r="K69">
        <f>'D-RP-1'!K$2</f>
        <v>0</v>
      </c>
      <c r="L69" t="str">
        <f>'D-RP-1'!L$2</f>
        <v>No Sales</v>
      </c>
      <c r="M69">
        <f>'D-RP-1'!M$2</f>
        <v>0</v>
      </c>
      <c r="N69" t="str">
        <f>'D-RP-1'!N$2</f>
        <v>Insufficient Data</v>
      </c>
      <c r="O69" t="str">
        <f>'D-RP-1'!O$2</f>
        <v>Insufficient Data</v>
      </c>
      <c r="P69" t="str">
        <f>'D-RP-1'!P$2</f>
        <v>Uncalculated</v>
      </c>
      <c r="Q69">
        <f t="shared" si="4"/>
        <v>0</v>
      </c>
      <c r="R69">
        <f t="shared" si="5"/>
        <v>0</v>
      </c>
      <c r="S69" t="s">
        <v>1854</v>
      </c>
      <c r="T69">
        <v>2015</v>
      </c>
      <c r="U69" t="str">
        <f>IF(Q8_OwnersEq_2015=0, "No Owner's Equity", Q8_NetInc_2015/Q8_OwnersEq_2015)</f>
        <v>No Owner's Equity</v>
      </c>
    </row>
    <row r="70" spans="1:21">
      <c r="A70">
        <f>'D-RP-1'!A$2</f>
        <v>0</v>
      </c>
      <c r="B70">
        <f>'D-RP-1'!B$2</f>
        <v>0</v>
      </c>
      <c r="C70">
        <f>'D-RP-1'!C$2</f>
        <v>0</v>
      </c>
      <c r="D70">
        <f>'D-RP-1'!D$2</f>
        <v>0</v>
      </c>
      <c r="E70">
        <f>'D-RP-1'!E$2</f>
        <v>0</v>
      </c>
      <c r="F70">
        <f>'D-RP-1'!F$2</f>
        <v>0</v>
      </c>
      <c r="G70">
        <f>'D-RP-1'!G$2</f>
        <v>0</v>
      </c>
      <c r="H70">
        <f>'D-RP-1'!H$2</f>
        <v>0</v>
      </c>
      <c r="I70">
        <f>'D-RP-1'!I$2</f>
        <v>0</v>
      </c>
      <c r="J70">
        <f>'D-RP-1'!J$2</f>
        <v>0</v>
      </c>
      <c r="K70">
        <f>'D-RP-1'!K$2</f>
        <v>0</v>
      </c>
      <c r="L70" t="str">
        <f>'D-RP-1'!L$2</f>
        <v>No Sales</v>
      </c>
      <c r="M70">
        <f>'D-RP-1'!M$2</f>
        <v>0</v>
      </c>
      <c r="N70" t="str">
        <f>'D-RP-1'!N$2</f>
        <v>Insufficient Data</v>
      </c>
      <c r="O70" t="str">
        <f>'D-RP-1'!O$2</f>
        <v>Insufficient Data</v>
      </c>
      <c r="P70" t="str">
        <f>'D-RP-1'!P$2</f>
        <v>Uncalculated</v>
      </c>
      <c r="Q70">
        <f t="shared" si="4"/>
        <v>0</v>
      </c>
      <c r="R70">
        <f t="shared" si="5"/>
        <v>0</v>
      </c>
      <c r="S70" t="s">
        <v>1855</v>
      </c>
      <c r="T70">
        <v>2015</v>
      </c>
      <c r="U70" t="str">
        <f>IF(Q8_NetSales_2015=0,"No Sales",(Q8_NetSales_2015-Q8_COGS_2015)/Q8_NetSales_2015)</f>
        <v>No Sales</v>
      </c>
    </row>
    <row r="71" spans="1:21">
      <c r="A71">
        <f>'D-RP-1'!A$2</f>
        <v>0</v>
      </c>
      <c r="B71">
        <f>'D-RP-1'!B$2</f>
        <v>0</v>
      </c>
      <c r="C71">
        <f>'D-RP-1'!C$2</f>
        <v>0</v>
      </c>
      <c r="D71">
        <f>'D-RP-1'!D$2</f>
        <v>0</v>
      </c>
      <c r="E71">
        <f>'D-RP-1'!E$2</f>
        <v>0</v>
      </c>
      <c r="F71">
        <f>'D-RP-1'!F$2</f>
        <v>0</v>
      </c>
      <c r="G71">
        <f>'D-RP-1'!G$2</f>
        <v>0</v>
      </c>
      <c r="H71">
        <f>'D-RP-1'!H$2</f>
        <v>0</v>
      </c>
      <c r="I71">
        <f>'D-RP-1'!I$2</f>
        <v>0</v>
      </c>
      <c r="J71">
        <f>'D-RP-1'!J$2</f>
        <v>0</v>
      </c>
      <c r="K71">
        <f>'D-RP-1'!K$2</f>
        <v>0</v>
      </c>
      <c r="L71" t="str">
        <f>'D-RP-1'!L$2</f>
        <v>No Sales</v>
      </c>
      <c r="M71">
        <f>'D-RP-1'!M$2</f>
        <v>0</v>
      </c>
      <c r="N71" t="str">
        <f>'D-RP-1'!N$2</f>
        <v>Insufficient Data</v>
      </c>
      <c r="O71" t="str">
        <f>'D-RP-1'!O$2</f>
        <v>Insufficient Data</v>
      </c>
      <c r="P71" t="str">
        <f>'D-RP-1'!P$2</f>
        <v>Uncalculated</v>
      </c>
      <c r="Q71">
        <f t="shared" si="4"/>
        <v>0</v>
      </c>
      <c r="R71">
        <f t="shared" si="5"/>
        <v>0</v>
      </c>
      <c r="S71" t="s">
        <v>1856</v>
      </c>
      <c r="T71">
        <v>2015</v>
      </c>
      <c r="U71" t="str">
        <f>IF(ISERROR(((Q8_CurrentAssets_2015-Q8_CurrentLiab_2015)/Q8_TotalAssets_2015)*0.717+(Q8_RetainedEarn_2015/Q8_TotalAssets_2015)*0.847+(Q8_EBIT_2015/Q8_TotalAssets_2015)*3.107+(Q8_OwnersEq_2015/Q8_TotalLiab_2015)*0.42+(Q8_NetSales_2015/Q8_TotalAssets_2015)*0.998), "Insufficient Data", ((Q8_CurrentAssets_2015-Q8_CurrentLiab_2015)/Q8_TotalAssets_2015)*0.717+(Q8_RetainedEarn_2015/Q8_TotalAssets_2015)*0.847+(Q8_EBIT_2015/Q8_TotalAssets_2015)*3.107+(Q8_OwnersEq_2015/Q8_TotalLiab_2015)*0.42+(Q8_NetSales_2015/Q8_TotalAssets_2015)*0.998)</f>
        <v>Insufficient Data</v>
      </c>
    </row>
    <row r="72" spans="1:21">
      <c r="A72">
        <f>'D-RP-1'!A$2</f>
        <v>0</v>
      </c>
      <c r="B72">
        <f>'D-RP-1'!B$2</f>
        <v>0</v>
      </c>
      <c r="C72">
        <f>'D-RP-1'!C$2</f>
        <v>0</v>
      </c>
      <c r="D72">
        <f>'D-RP-1'!D$2</f>
        <v>0</v>
      </c>
      <c r="E72">
        <f>'D-RP-1'!E$2</f>
        <v>0</v>
      </c>
      <c r="F72">
        <f>'D-RP-1'!F$2</f>
        <v>0</v>
      </c>
      <c r="G72">
        <f>'D-RP-1'!G$2</f>
        <v>0</v>
      </c>
      <c r="H72">
        <f>'D-RP-1'!H$2</f>
        <v>0</v>
      </c>
      <c r="I72">
        <f>'D-RP-1'!I$2</f>
        <v>0</v>
      </c>
      <c r="J72">
        <f>'D-RP-1'!J$2</f>
        <v>0</v>
      </c>
      <c r="K72">
        <f>'D-RP-1'!K$2</f>
        <v>0</v>
      </c>
      <c r="L72" t="str">
        <f>'D-RP-1'!L$2</f>
        <v>No Sales</v>
      </c>
      <c r="M72">
        <f>'D-RP-1'!M$2</f>
        <v>0</v>
      </c>
      <c r="N72" t="str">
        <f>'D-RP-1'!N$2</f>
        <v>Insufficient Data</v>
      </c>
      <c r="O72" t="str">
        <f>'D-RP-1'!O$2</f>
        <v>Insufficient Data</v>
      </c>
      <c r="P72" t="str">
        <f>'D-RP-1'!P$2</f>
        <v>Uncalculated</v>
      </c>
      <c r="Q72">
        <f t="shared" si="4"/>
        <v>0</v>
      </c>
      <c r="R72">
        <f t="shared" si="5"/>
        <v>0</v>
      </c>
      <c r="S72" t="s">
        <v>1857</v>
      </c>
      <c r="T72">
        <v>2015</v>
      </c>
      <c r="U72" t="str">
        <f>IF(ISERROR(((Q8_CurrentAssets_2015-Q8_CurrentLiab_2015)/Q8_TotalAssets_2015)*6.56+(Q8_RetainedEarn_2015/Q8_TotalAssets_2015)*3.26+(Q8_EBIT_2015/Q8_TotalAssets_2015)*6.72+(Q8_OwnersEq_2015/Q8_TotalLiab_2015)*1.05), "Insufficient Data", ((Q8_CurrentAssets_2015-Q8_CurrentLiab_2015)/Q8_TotalAssets_2015)*6.56+(Q8_RetainedEarn_2015/Q8_TotalAssets_2015)*3.26+(Q8_EBIT_2015/Q8_TotalAssets_2015)*6.72+(Q8_OwnersEq_2015/Q8_TotalLiab_2015)*1.05)</f>
        <v>Insufficient Data</v>
      </c>
    </row>
    <row r="73" spans="1:21">
      <c r="A73">
        <f>'D-RP-1'!A$2</f>
        <v>0</v>
      </c>
      <c r="B73">
        <f>'D-RP-1'!B$2</f>
        <v>0</v>
      </c>
      <c r="C73">
        <f>'D-RP-1'!C$2</f>
        <v>0</v>
      </c>
      <c r="D73">
        <f>'D-RP-1'!D$2</f>
        <v>0</v>
      </c>
      <c r="E73">
        <f>'D-RP-1'!E$2</f>
        <v>0</v>
      </c>
      <c r="F73">
        <f>'D-RP-1'!F$2</f>
        <v>0</v>
      </c>
      <c r="G73">
        <f>'D-RP-1'!G$2</f>
        <v>0</v>
      </c>
      <c r="H73">
        <f>'D-RP-1'!H$2</f>
        <v>0</v>
      </c>
      <c r="I73">
        <f>'D-RP-1'!I$2</f>
        <v>0</v>
      </c>
      <c r="J73">
        <f>'D-RP-1'!J$2</f>
        <v>0</v>
      </c>
      <c r="K73">
        <f>'D-RP-1'!K$2</f>
        <v>0</v>
      </c>
      <c r="L73" t="str">
        <f>'D-RP-1'!L$2</f>
        <v>No Sales</v>
      </c>
      <c r="M73">
        <f>'D-RP-1'!M$2</f>
        <v>0</v>
      </c>
      <c r="N73" t="str">
        <f>'D-RP-1'!N$2</f>
        <v>Insufficient Data</v>
      </c>
      <c r="O73" t="str">
        <f>'D-RP-1'!O$2</f>
        <v>Insufficient Data</v>
      </c>
      <c r="P73" t="str">
        <f>'D-RP-1'!P$2</f>
        <v>Uncalculated</v>
      </c>
      <c r="Q73">
        <f t="shared" si="4"/>
        <v>0</v>
      </c>
      <c r="R73">
        <f t="shared" si="5"/>
        <v>0</v>
      </c>
      <c r="S73" t="s">
        <v>1858</v>
      </c>
      <c r="T73">
        <v>2015</v>
      </c>
      <c r="U73" t="str">
        <f>IF(Q8_Inv_2015=0, "No Inventory", Q8_NetSales_2015/Q8_Inv_2015)</f>
        <v>No Inventory</v>
      </c>
    </row>
    <row r="74" spans="1:21">
      <c r="A74">
        <f>'D-RP-1'!A$2</f>
        <v>0</v>
      </c>
      <c r="B74">
        <f>'D-RP-1'!B$2</f>
        <v>0</v>
      </c>
      <c r="C74">
        <f>'D-RP-1'!C$2</f>
        <v>0</v>
      </c>
      <c r="D74">
        <f>'D-RP-1'!D$2</f>
        <v>0</v>
      </c>
      <c r="E74">
        <f>'D-RP-1'!E$2</f>
        <v>0</v>
      </c>
      <c r="F74">
        <f>'D-RP-1'!F$2</f>
        <v>0</v>
      </c>
      <c r="G74">
        <f>'D-RP-1'!G$2</f>
        <v>0</v>
      </c>
      <c r="H74">
        <f>'D-RP-1'!H$2</f>
        <v>0</v>
      </c>
      <c r="I74">
        <f>'D-RP-1'!I$2</f>
        <v>0</v>
      </c>
      <c r="J74">
        <f>'D-RP-1'!J$2</f>
        <v>0</v>
      </c>
      <c r="K74">
        <f>'D-RP-1'!K$2</f>
        <v>0</v>
      </c>
      <c r="L74" t="str">
        <f>'D-RP-1'!L$2</f>
        <v>No Sales</v>
      </c>
      <c r="M74">
        <f>'D-RP-1'!M$2</f>
        <v>0</v>
      </c>
      <c r="N74" t="str">
        <f>'D-RP-1'!N$2</f>
        <v>Insufficient Data</v>
      </c>
      <c r="O74" t="str">
        <f>'D-RP-1'!O$2</f>
        <v>Insufficient Data</v>
      </c>
      <c r="P74" t="str">
        <f>'D-RP-1'!P$2</f>
        <v>Uncalculated</v>
      </c>
      <c r="Q74">
        <f t="shared" si="4"/>
        <v>0</v>
      </c>
      <c r="R74">
        <f t="shared" si="5"/>
        <v>0</v>
      </c>
      <c r="S74" t="s">
        <v>1859</v>
      </c>
      <c r="T74">
        <v>2015</v>
      </c>
      <c r="U74" t="str">
        <f>IF(Q8_NetSales_2015=0, "No Sales", Q8_OpInc_2015/Q8_NetSales_2015)</f>
        <v>No Sales</v>
      </c>
    </row>
    <row r="75" spans="1:21">
      <c r="A75">
        <f>'D-RP-1'!A$2</f>
        <v>0</v>
      </c>
      <c r="B75">
        <f>'D-RP-1'!B$2</f>
        <v>0</v>
      </c>
      <c r="C75">
        <f>'D-RP-1'!C$2</f>
        <v>0</v>
      </c>
      <c r="D75">
        <f>'D-RP-1'!D$2</f>
        <v>0</v>
      </c>
      <c r="E75">
        <f>'D-RP-1'!E$2</f>
        <v>0</v>
      </c>
      <c r="F75">
        <f>'D-RP-1'!F$2</f>
        <v>0</v>
      </c>
      <c r="G75">
        <f>'D-RP-1'!G$2</f>
        <v>0</v>
      </c>
      <c r="H75">
        <f>'D-RP-1'!H$2</f>
        <v>0</v>
      </c>
      <c r="I75">
        <f>'D-RP-1'!I$2</f>
        <v>0</v>
      </c>
      <c r="J75">
        <f>'D-RP-1'!J$2</f>
        <v>0</v>
      </c>
      <c r="K75">
        <f>'D-RP-1'!K$2</f>
        <v>0</v>
      </c>
      <c r="L75" t="str">
        <f>'D-RP-1'!L$2</f>
        <v>No Sales</v>
      </c>
      <c r="M75">
        <f>'D-RP-1'!M$2</f>
        <v>0</v>
      </c>
      <c r="N75" t="str">
        <f>'D-RP-1'!N$2</f>
        <v>Insufficient Data</v>
      </c>
      <c r="O75" t="str">
        <f>'D-RP-1'!O$2</f>
        <v>Insufficient Data</v>
      </c>
      <c r="P75" t="str">
        <f>'D-RP-1'!P$2</f>
        <v>Uncalculated</v>
      </c>
      <c r="Q75">
        <f t="shared" si="4"/>
        <v>0</v>
      </c>
      <c r="R75">
        <f t="shared" si="5"/>
        <v>0</v>
      </c>
      <c r="S75" t="s">
        <v>1860</v>
      </c>
      <c r="T75">
        <v>2015</v>
      </c>
      <c r="U75" t="str">
        <f>IF(Q8_NetSales_2015=0, "No Sales", Q8_EBIT_2015/Q8_NetSales_2015)</f>
        <v>No Sales</v>
      </c>
    </row>
    <row r="76" spans="1:21">
      <c r="A76">
        <f>'D-RP-1'!A$2</f>
        <v>0</v>
      </c>
      <c r="B76">
        <f>'D-RP-1'!B$2</f>
        <v>0</v>
      </c>
      <c r="C76">
        <f>'D-RP-1'!C$2</f>
        <v>0</v>
      </c>
      <c r="D76">
        <f>'D-RP-1'!D$2</f>
        <v>0</v>
      </c>
      <c r="E76">
        <f>'D-RP-1'!E$2</f>
        <v>0</v>
      </c>
      <c r="F76">
        <f>'D-RP-1'!F$2</f>
        <v>0</v>
      </c>
      <c r="G76">
        <f>'D-RP-1'!G$2</f>
        <v>0</v>
      </c>
      <c r="H76">
        <f>'D-RP-1'!H$2</f>
        <v>0</v>
      </c>
      <c r="I76">
        <f>'D-RP-1'!I$2</f>
        <v>0</v>
      </c>
      <c r="J76">
        <f>'D-RP-1'!J$2</f>
        <v>0</v>
      </c>
      <c r="K76">
        <f>'D-RP-1'!K$2</f>
        <v>0</v>
      </c>
      <c r="L76" t="str">
        <f>'D-RP-1'!L$2</f>
        <v>No Sales</v>
      </c>
      <c r="M76">
        <f>'D-RP-1'!M$2</f>
        <v>0</v>
      </c>
      <c r="N76" t="str">
        <f>'D-RP-1'!N$2</f>
        <v>Insufficient Data</v>
      </c>
      <c r="O76" t="str">
        <f>'D-RP-1'!O$2</f>
        <v>Insufficient Data</v>
      </c>
      <c r="P76" t="str">
        <f>'D-RP-1'!P$2</f>
        <v>Uncalculated</v>
      </c>
      <c r="Q76">
        <f t="shared" si="4"/>
        <v>0</v>
      </c>
      <c r="R76">
        <f t="shared" si="5"/>
        <v>0</v>
      </c>
      <c r="S76" t="s">
        <v>1861</v>
      </c>
      <c r="T76">
        <v>2015</v>
      </c>
      <c r="U76" t="str">
        <f>IF(Q11a_FTE_Total_2015=0, "No Employees", Q8_NetSales_2015/Q11a_FTE_Total_2015)</f>
        <v>No Employees</v>
      </c>
    </row>
    <row r="77" spans="1:21">
      <c r="A77">
        <f>'D-RP-1'!A$2</f>
        <v>0</v>
      </c>
      <c r="B77">
        <f>'D-RP-1'!B$2</f>
        <v>0</v>
      </c>
      <c r="C77">
        <f>'D-RP-1'!C$2</f>
        <v>0</v>
      </c>
      <c r="D77">
        <f>'D-RP-1'!D$2</f>
        <v>0</v>
      </c>
      <c r="E77">
        <f>'D-RP-1'!E$2</f>
        <v>0</v>
      </c>
      <c r="F77">
        <f>'D-RP-1'!F$2</f>
        <v>0</v>
      </c>
      <c r="G77">
        <f>'D-RP-1'!G$2</f>
        <v>0</v>
      </c>
      <c r="H77">
        <f>'D-RP-1'!H$2</f>
        <v>0</v>
      </c>
      <c r="I77">
        <f>'D-RP-1'!I$2</f>
        <v>0</v>
      </c>
      <c r="J77">
        <f>'D-RP-1'!J$2</f>
        <v>0</v>
      </c>
      <c r="K77">
        <f>'D-RP-1'!K$2</f>
        <v>0</v>
      </c>
      <c r="L77" t="str">
        <f>'D-RP-1'!L$2</f>
        <v>No Sales</v>
      </c>
      <c r="M77">
        <f>'D-RP-1'!M$2</f>
        <v>0</v>
      </c>
      <c r="N77" t="str">
        <f>'D-RP-1'!N$2</f>
        <v>Insufficient Data</v>
      </c>
      <c r="O77" t="str">
        <f>'D-RP-1'!O$2</f>
        <v>Insufficient Data</v>
      </c>
      <c r="P77" t="str">
        <f>'D-RP-1'!P$2</f>
        <v>Uncalculated</v>
      </c>
      <c r="Q77">
        <f t="shared" si="4"/>
        <v>0</v>
      </c>
      <c r="R77">
        <f t="shared" si="5"/>
        <v>0</v>
      </c>
      <c r="S77" t="s">
        <v>1862</v>
      </c>
      <c r="T77">
        <v>2015</v>
      </c>
      <c r="U77" t="str">
        <f>IF(Q8_NetSales_2015=0, "No Sales", Q11_Expend_Total_2015/Q8_NetSales_2015)</f>
        <v>No Sales</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zoomScale="85" zoomScaleNormal="85" workbookViewId="0">
      <selection activeCell="A2" sqref="A2:P2"/>
    </sheetView>
  </sheetViews>
  <sheetFormatPr defaultRowHeight="15"/>
  <cols>
    <col min="17" max="17" width="19.85546875" bestFit="1" customWidth="1"/>
    <col min="18" max="18" width="48.7109375" customWidth="1"/>
    <col min="19" max="22" width="14.140625" customWidth="1"/>
    <col min="23" max="23" width="16.85546875" bestFit="1" customWidth="1"/>
    <col min="24" max="24" width="31.5703125" customWidth="1"/>
    <col min="25" max="28" width="11" customWidth="1"/>
    <col min="29" max="30" width="15.7109375" bestFit="1" customWidth="1"/>
  </cols>
  <sheetData>
    <row r="1" spans="1:30" ht="15.75" thickBot="1">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3" t="s">
        <v>1791</v>
      </c>
      <c r="R1" s="593" t="s">
        <v>1863</v>
      </c>
      <c r="S1" s="593">
        <v>2012</v>
      </c>
      <c r="T1" s="593">
        <v>2013</v>
      </c>
      <c r="U1" s="593">
        <v>2014</v>
      </c>
      <c r="V1" s="593">
        <v>2015</v>
      </c>
      <c r="W1" s="598" t="s">
        <v>1864</v>
      </c>
      <c r="X1" t="s">
        <v>1865</v>
      </c>
      <c r="Y1" s="593">
        <v>2012</v>
      </c>
      <c r="Z1" s="593">
        <v>2013</v>
      </c>
      <c r="AA1" s="593">
        <v>2014</v>
      </c>
      <c r="AB1" s="593">
        <v>2015</v>
      </c>
      <c r="AC1" s="599" t="s">
        <v>1866</v>
      </c>
      <c r="AD1" s="599" t="s">
        <v>1863</v>
      </c>
    </row>
    <row r="2" spans="1:30">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t="s">
        <v>1867</v>
      </c>
      <c r="R2" t="s">
        <v>1868</v>
      </c>
      <c r="S2" t="str">
        <f>'D-Ratios (Pivot)'!U17</f>
        <v>No Sales</v>
      </c>
      <c r="T2" t="str">
        <f>'D-Ratios (Pivot)'!U36</f>
        <v>No Sales</v>
      </c>
      <c r="U2" t="str">
        <f>'D-Ratios (Pivot)'!U55</f>
        <v>No Sales</v>
      </c>
      <c r="V2" t="str">
        <f>'D-Ratios (Pivot)'!U74</f>
        <v>No Sales</v>
      </c>
      <c r="X2" s="600" t="s">
        <v>1869</v>
      </c>
      <c r="Y2" s="601" t="str">
        <f>IF(NOT(ISNUMBER(S2)), S2, IF(S2&lt;0, 1, 0))</f>
        <v>No Sales</v>
      </c>
      <c r="Z2" s="601" t="str">
        <f t="shared" ref="Z2:AB4" si="0">IF(NOT(ISNUMBER(T2)), T2, IF(T2&lt;0, 1, 0))</f>
        <v>No Sales</v>
      </c>
      <c r="AA2" s="601" t="str">
        <f t="shared" si="0"/>
        <v>No Sales</v>
      </c>
      <c r="AB2" s="601" t="str">
        <f t="shared" si="0"/>
        <v>No Sales</v>
      </c>
      <c r="AC2" s="602" t="str">
        <f>IF(ISERROR(AVERAGE(Y2:AB2)), "Insufficient Data", AVERAGE(Y2:AB2))</f>
        <v>Insufficient Data</v>
      </c>
    </row>
    <row r="3" spans="1:30">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t="s">
        <v>1867</v>
      </c>
      <c r="R3" t="s">
        <v>1870</v>
      </c>
      <c r="S3" t="str">
        <f>'D-Ratios (Pivot)'!U18</f>
        <v>No Sales</v>
      </c>
      <c r="T3" t="str">
        <f>'D-Ratios (Pivot)'!U37</f>
        <v>No Sales</v>
      </c>
      <c r="U3" t="str">
        <f>'D-Ratios (Pivot)'!U56</f>
        <v>No Sales</v>
      </c>
      <c r="V3" t="str">
        <f>'D-Ratios (Pivot)'!U75</f>
        <v>No Sales</v>
      </c>
      <c r="X3" s="603" t="s">
        <v>1869</v>
      </c>
      <c r="Y3" s="604" t="str">
        <f>IF(NOT(ISNUMBER(S3)), S3, IF(S3&lt;0, 1, 0))</f>
        <v>No Sales</v>
      </c>
      <c r="Z3" s="604" t="str">
        <f t="shared" si="0"/>
        <v>No Sales</v>
      </c>
      <c r="AA3" s="604" t="str">
        <f t="shared" si="0"/>
        <v>No Sales</v>
      </c>
      <c r="AB3" s="604" t="str">
        <f t="shared" si="0"/>
        <v>No Sales</v>
      </c>
      <c r="AC3" s="605" t="str">
        <f>IF(ISERROR(AVERAGE(Y3:AB3)), "Insufficient Data", AVERAGE(Y3:AB3))</f>
        <v>Insufficient Data</v>
      </c>
    </row>
    <row r="4" spans="1:30">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t="s">
        <v>1867</v>
      </c>
      <c r="R4" t="s">
        <v>1871</v>
      </c>
      <c r="S4" t="str">
        <f>'D-Ratios (Pivot)'!U9</f>
        <v>No Sales</v>
      </c>
      <c r="T4" t="str">
        <f>'D-Ratios (Pivot)'!U28</f>
        <v>No Sales</v>
      </c>
      <c r="U4" t="str">
        <f>'D-Ratios (Pivot)'!U47</f>
        <v>No Sales</v>
      </c>
      <c r="V4" t="str">
        <f>'D-Ratios (Pivot)'!U66</f>
        <v>No Sales</v>
      </c>
      <c r="X4" s="603" t="s">
        <v>1869</v>
      </c>
      <c r="Y4" s="604" t="str">
        <f>IF(NOT(ISNUMBER(S4)), S4, IF(S4&lt;0, 1, 0))</f>
        <v>No Sales</v>
      </c>
      <c r="Z4" s="604" t="str">
        <f t="shared" si="0"/>
        <v>No Sales</v>
      </c>
      <c r="AA4" s="604" t="str">
        <f t="shared" si="0"/>
        <v>No Sales</v>
      </c>
      <c r="AB4" s="604" t="str">
        <f t="shared" si="0"/>
        <v>No Sales</v>
      </c>
      <c r="AC4" s="605" t="str">
        <f t="shared" ref="AC4:AC10" si="1">IF(ISERROR(AVERAGE(Y4:AB4)), "Insufficient Data", AVERAGE(Y4:AB4))</f>
        <v>Insufficient Data</v>
      </c>
    </row>
    <row r="5" spans="1:30">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t="s">
        <v>1872</v>
      </c>
      <c r="R5" t="s">
        <v>1873</v>
      </c>
      <c r="S5" t="str">
        <f>'D-Ratios (Pivot)'!U6</f>
        <v>No Assets</v>
      </c>
      <c r="T5" t="str">
        <f>'D-Ratios (Pivot)'!U25</f>
        <v>No Assets</v>
      </c>
      <c r="U5" t="str">
        <f>'D-Ratios (Pivot)'!U44</f>
        <v>No Assets</v>
      </c>
      <c r="V5" t="str">
        <f>'D-Ratios (Pivot)'!U63</f>
        <v>No Assets</v>
      </c>
      <c r="X5" s="603" t="s">
        <v>1874</v>
      </c>
      <c r="Y5" s="604" t="str">
        <f>IF(NOT(ISNUMBER(S5)), S5, IF(S5&gt;2,2,IF(S5&gt;1,1,0)))</f>
        <v>No Assets</v>
      </c>
      <c r="Z5" s="604" t="str">
        <f>IF(NOT(ISNUMBER(T5)), T5, IF(T5&gt;2,2,IF(T5&gt;1,1,0)))</f>
        <v>No Assets</v>
      </c>
      <c r="AA5" s="604" t="str">
        <f>IF(NOT(ISNUMBER(U5)), U5, IF(U5&gt;2,2,IF(U5&gt;1,1,0)))</f>
        <v>No Assets</v>
      </c>
      <c r="AB5" s="604" t="str">
        <f>IF(NOT(ISNUMBER(V5)), V5, IF(V5&gt;2,2,IF(V5&gt;1,1,0)))</f>
        <v>No Assets</v>
      </c>
      <c r="AC5" s="605" t="str">
        <f t="shared" si="1"/>
        <v>Insufficient Data</v>
      </c>
    </row>
    <row r="6" spans="1:30">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t="s">
        <v>1872</v>
      </c>
      <c r="R6" t="s">
        <v>1875</v>
      </c>
      <c r="S6" t="str">
        <f>'D-Ratios (Pivot)'!U7</f>
        <v>No Owner's Equity</v>
      </c>
      <c r="T6" t="str">
        <f>'D-Ratios (Pivot)'!U26</f>
        <v>No Owner's Equity</v>
      </c>
      <c r="U6" t="str">
        <f>'D-Ratios (Pivot)'!U45</f>
        <v>No Owner's Equity</v>
      </c>
      <c r="V6" t="str">
        <f>'D-Ratios (Pivot)'!U64</f>
        <v>No Owner's Equity</v>
      </c>
      <c r="X6" s="603" t="s">
        <v>1876</v>
      </c>
      <c r="Y6" s="604" t="str">
        <f>IF(NOT(ISNUMBER(S6)), S6, IF(S6&gt;2, 1, 0))</f>
        <v>No Owner's Equity</v>
      </c>
      <c r="Z6" s="604" t="str">
        <f>IF(NOT(ISNUMBER(T6)), T6, IF(T6&gt;2, 1, 0))</f>
        <v>No Owner's Equity</v>
      </c>
      <c r="AA6" s="604" t="str">
        <f>IF(NOT(ISNUMBER(U6)), U6, IF(U6&gt;2, 1, 0))</f>
        <v>No Owner's Equity</v>
      </c>
      <c r="AB6" s="604" t="str">
        <f>IF(NOT(ISNUMBER(V6)), V6, IF(V6&gt;2, 1, 0))</f>
        <v>No Owner's Equity</v>
      </c>
      <c r="AC6" s="605" t="str">
        <f t="shared" si="1"/>
        <v>Insufficient Data</v>
      </c>
    </row>
    <row r="7" spans="1:30">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t="s">
        <v>1872</v>
      </c>
      <c r="R7" t="s">
        <v>1877</v>
      </c>
      <c r="S7" t="str">
        <f>'D-Ratios (Pivot)'!U2</f>
        <v>No Current Liabilities</v>
      </c>
      <c r="T7" t="str">
        <f>'D-Ratios (Pivot)'!U21</f>
        <v>No Current Liabilities</v>
      </c>
      <c r="U7" t="str">
        <f>'D-Ratios (Pivot)'!U40</f>
        <v>No Current Liabilities</v>
      </c>
      <c r="V7" t="str">
        <f>'D-Ratios (Pivot)'!U59</f>
        <v>No Current Liabilities</v>
      </c>
      <c r="X7" s="603" t="s">
        <v>1878</v>
      </c>
      <c r="Y7" s="604">
        <f>IF(NOT(ISNUMBER(S7)), 0, IF(S7&lt;0.85,2,IF(S7&lt;1,1,0)))</f>
        <v>0</v>
      </c>
      <c r="Z7" s="604">
        <f>IF(NOT(ISNUMBER(T7)), 0, IF(T7&lt;0.85,2,IF(T7&lt;1,1,0)))</f>
        <v>0</v>
      </c>
      <c r="AA7" s="604">
        <f>IF(NOT(ISNUMBER(U7)), 0, IF(U7&lt;0.85,2,IF(U7&lt;1,1,0)))</f>
        <v>0</v>
      </c>
      <c r="AB7" s="604">
        <f>IF(NOT(ISNUMBER(V7)), 0, IF(V7&lt;0.85,2,IF(V7&lt;1,1,0)))</f>
        <v>0</v>
      </c>
      <c r="AC7" s="605">
        <f t="shared" si="1"/>
        <v>0</v>
      </c>
    </row>
    <row r="8" spans="1:30">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t="s">
        <v>1872</v>
      </c>
      <c r="R8" s="604" t="s">
        <v>1879</v>
      </c>
      <c r="S8" s="604" t="str">
        <f>'D-Ratios (Pivot)'!U3</f>
        <v>No Current Liabilities</v>
      </c>
      <c r="T8" s="604" t="str">
        <f>'D-Ratios (Pivot)'!U22</f>
        <v>No Current Liabilities</v>
      </c>
      <c r="U8" s="604" t="str">
        <f>'D-Ratios (Pivot)'!U41</f>
        <v>No Current Liabilities</v>
      </c>
      <c r="V8" s="604" t="str">
        <f>'D-Ratios (Pivot)'!U60</f>
        <v>No Current Liabilities</v>
      </c>
      <c r="X8" s="603" t="s">
        <v>1880</v>
      </c>
      <c r="Y8" s="604">
        <f>IF(NOT(ISNUMBER(S8)), 0, IF(S8&lt;0.65, 1, 0))</f>
        <v>0</v>
      </c>
      <c r="Z8" s="604">
        <f>IF(NOT(ISNUMBER(T8)), 0, IF(T8&lt;0.65, 1, 0))</f>
        <v>0</v>
      </c>
      <c r="AA8" s="604">
        <f>IF(NOT(ISNUMBER(U8)), 0, IF(U8&lt;0.65, 1, 0))</f>
        <v>0</v>
      </c>
      <c r="AB8" s="604">
        <f>IF(NOT(ISNUMBER(V8)), 0, IF(V8&lt;0.65, 1, 0))</f>
        <v>0</v>
      </c>
      <c r="AC8" s="605">
        <f t="shared" si="1"/>
        <v>0</v>
      </c>
    </row>
    <row r="9" spans="1:30">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t="s">
        <v>1881</v>
      </c>
      <c r="R9" t="s">
        <v>1882</v>
      </c>
      <c r="S9" t="str">
        <f>'D-Ratios (Pivot)'!U14</f>
        <v>Insufficient Data</v>
      </c>
      <c r="T9" t="str">
        <f>'D-Ratios (Pivot)'!U33</f>
        <v>Insufficient Data</v>
      </c>
      <c r="U9" t="str">
        <f>'D-Ratios (Pivot)'!U52</f>
        <v>Insufficient Data</v>
      </c>
      <c r="V9" t="str">
        <f>'D-Ratios (Pivot)'!U71</f>
        <v>Insufficient Data</v>
      </c>
      <c r="X9" s="603" t="s">
        <v>1883</v>
      </c>
      <c r="Y9" s="604">
        <f>IF(NOT(ISNUMBER(S9)), 0, IF(S9&lt;1.23,3,IF(S9&lt;2.9,2,0)))</f>
        <v>0</v>
      </c>
      <c r="Z9" s="604">
        <f>IF(NOT(ISNUMBER(T9)), 0, IF(T9&lt;1.23,3,IF(T9&lt;2.9,2,0)))</f>
        <v>0</v>
      </c>
      <c r="AA9" s="604">
        <f>IF(NOT(ISNUMBER(U9)), 0, IF(U9&lt;1.23,3,IF(U9&lt;2.9,2,0)))</f>
        <v>0</v>
      </c>
      <c r="AB9" s="604">
        <f>IF(NOT(ISNUMBER(V9)), 0, IF(V9&lt;1.23,3,IF(V9&lt;2.9,2,0)))</f>
        <v>0</v>
      </c>
      <c r="AC9" s="605">
        <f t="shared" si="1"/>
        <v>0</v>
      </c>
    </row>
    <row r="10" spans="1:30">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t="s">
        <v>1881</v>
      </c>
      <c r="R10" t="s">
        <v>1884</v>
      </c>
      <c r="S10" t="str">
        <f>'D-Ratios (Pivot)'!U15</f>
        <v>Insufficient Data</v>
      </c>
      <c r="T10" t="str">
        <f>'D-Ratios (Pivot)'!U34</f>
        <v>Insufficient Data</v>
      </c>
      <c r="U10" t="str">
        <f>'D-Ratios (Pivot)'!U53</f>
        <v>Insufficient Data</v>
      </c>
      <c r="V10" t="str">
        <f>'D-Ratios (Pivot)'!U72</f>
        <v>Insufficient Data</v>
      </c>
      <c r="X10" s="603" t="s">
        <v>1885</v>
      </c>
      <c r="Y10" s="604">
        <f>IF(NOT(ISNUMBER(S10)), 0, IF(S10&lt;1.1,3,IF(S10&lt;2.6,2,0)))</f>
        <v>0</v>
      </c>
      <c r="Z10" s="604">
        <f>IF(NOT(ISNUMBER(T10)), 0, IF(T10&lt;1.1,3,IF(T10&lt;2.6,2,0)))</f>
        <v>0</v>
      </c>
      <c r="AA10" s="604">
        <f>IF(NOT(ISNUMBER(U10)), 0, IF(U10&lt;1.1,3,IF(U10&lt;2.6,2,0)))</f>
        <v>0</v>
      </c>
      <c r="AB10" s="604">
        <f>IF(NOT(ISNUMBER(V10)), 0, IF(V10&lt;1.1,3,IF(V10&lt;2.6,2,0)))</f>
        <v>0</v>
      </c>
      <c r="AC10" s="605">
        <f t="shared" si="1"/>
        <v>0</v>
      </c>
    </row>
    <row r="11" spans="1:30">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t="s">
        <v>1901</v>
      </c>
      <c r="R11" t="s">
        <v>1917</v>
      </c>
      <c r="S11">
        <f>Q4b_A_DepUSG_YN</f>
        <v>0</v>
      </c>
      <c r="T11">
        <f>Q4b_A_DepUSG_YN</f>
        <v>0</v>
      </c>
      <c r="U11">
        <f>Q4b_A_DepUSG_YN</f>
        <v>0</v>
      </c>
      <c r="V11">
        <f>Q4b_A_DepUSG_YN</f>
        <v>0</v>
      </c>
      <c r="W11" s="592">
        <f>V11</f>
        <v>0</v>
      </c>
      <c r="X11" s="603" t="s">
        <v>1911</v>
      </c>
      <c r="Y11" s="604">
        <f>IF($W11="Yes", 1, 0)</f>
        <v>0</v>
      </c>
      <c r="Z11" s="604">
        <f>IF($W11="Yes", 1, 0)</f>
        <v>0</v>
      </c>
      <c r="AA11" s="604">
        <f>IF($W11="Yes", 1, 0)</f>
        <v>0</v>
      </c>
      <c r="AB11" s="604">
        <f>IF($W11="Yes", 1, 0)</f>
        <v>0</v>
      </c>
      <c r="AC11" s="605">
        <f>IF($W11="Yes", 1, 0)</f>
        <v>0</v>
      </c>
    </row>
    <row r="12" spans="1:30">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t="s">
        <v>1902</v>
      </c>
      <c r="R12" t="s">
        <v>1909</v>
      </c>
      <c r="S12">
        <f>Q4b_B_Viability_Decrease</f>
        <v>0</v>
      </c>
      <c r="T12">
        <f>Q4b_B_Viability_Decrease</f>
        <v>0</v>
      </c>
      <c r="U12">
        <f>Q4b_B_Viability_Decrease</f>
        <v>0</v>
      </c>
      <c r="V12">
        <f>Q4b_B_Viability_Decrease</f>
        <v>0</v>
      </c>
      <c r="W12" s="592">
        <f>V12</f>
        <v>0</v>
      </c>
      <c r="X12" s="603" t="s">
        <v>1910</v>
      </c>
      <c r="Y12" s="604">
        <f>IF($W12="Decrease", 1, 0)</f>
        <v>0</v>
      </c>
      <c r="Z12" s="604">
        <f>IF($W12="Decrease", 1, 0)</f>
        <v>0</v>
      </c>
      <c r="AA12" s="604">
        <f>IF($W12="Decrease", 1, 0)</f>
        <v>0</v>
      </c>
      <c r="AB12" s="604">
        <f>IF($W12="Decrease", 1, 0)</f>
        <v>0</v>
      </c>
      <c r="AC12" s="605">
        <f>IF($W12="Decrease", 1, 0)</f>
        <v>0</v>
      </c>
    </row>
    <row r="13" spans="1:30">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t="s">
        <v>1904</v>
      </c>
      <c r="R13" t="s">
        <v>1906</v>
      </c>
      <c r="S13">
        <f>Q12a_A_OpsChange_Type</f>
        <v>0</v>
      </c>
      <c r="T13">
        <f>Q12a_A_OpsChange_Type</f>
        <v>0</v>
      </c>
      <c r="U13">
        <f>Q12a_A_OpsChange_Type</f>
        <v>0</v>
      </c>
      <c r="V13">
        <f>Q12a_A_OpsChange_Type</f>
        <v>0</v>
      </c>
      <c r="W13" s="592">
        <f>V13</f>
        <v>0</v>
      </c>
      <c r="X13" s="603" t="s">
        <v>1907</v>
      </c>
      <c r="Y13" s="604">
        <f>IF($W13="Potential Closure", 2, IF($W13="Contraction", 1, 0))</f>
        <v>0</v>
      </c>
      <c r="Z13" s="604">
        <f>IF($W13="Potential Closure", 2, IF($W13="Contraction", 1, 0))</f>
        <v>0</v>
      </c>
      <c r="AA13" s="604">
        <f>IF($W13="Potential Closure", 2, IF($W13="Contraction", 1, 0))</f>
        <v>0</v>
      </c>
      <c r="AB13" s="604">
        <f>IF($W13="Potential Closure", 2, IF($W13="Contraction", 1, 0))</f>
        <v>0</v>
      </c>
      <c r="AC13" s="605">
        <f>IF($W13="Potential Closure", 2, IF($W13="Contraction", 1, 0))</f>
        <v>0</v>
      </c>
    </row>
    <row r="14" spans="1:30" ht="15.75" thickBot="1">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t="s">
        <v>1903</v>
      </c>
      <c r="R14" t="s">
        <v>1905</v>
      </c>
      <c r="S14">
        <f>Q12b_A_ROI_Comm</f>
        <v>0</v>
      </c>
      <c r="T14">
        <f>Q12b_A_ROI_Comm</f>
        <v>0</v>
      </c>
      <c r="U14">
        <f>Q12b_A_ROI_Comm</f>
        <v>0</v>
      </c>
      <c r="V14">
        <f>Q12b_A_ROI_Comm</f>
        <v>0</v>
      </c>
      <c r="W14" s="592">
        <f>V14</f>
        <v>0</v>
      </c>
      <c r="X14" s="606" t="s">
        <v>1908</v>
      </c>
      <c r="Y14" s="631">
        <f>IF($W14="No", 1, 0)</f>
        <v>0</v>
      </c>
      <c r="Z14" s="631">
        <f>IF($W14="No", 1, 0)</f>
        <v>0</v>
      </c>
      <c r="AA14" s="631">
        <f>IF($W14="No", 1, 0)</f>
        <v>0</v>
      </c>
      <c r="AB14" s="631">
        <f>IF($W14="No", 1, 0)</f>
        <v>0</v>
      </c>
      <c r="AC14" s="632">
        <f>IF($W14="No", 1, 0)</f>
        <v>0</v>
      </c>
    </row>
    <row r="15" spans="1:30" ht="15.75" thickBot="1">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X15" s="607" t="s">
        <v>1912</v>
      </c>
      <c r="Y15" s="615" t="str">
        <f>IF(ISERROR(SUM(Y2+Y3+Y4+Y5+Y6+Y7+Y8+Y9+Y10+Y11+Y12+Y13+Y14)), "Insufficient Data", SUM(Y2:Y14))</f>
        <v>Insufficient Data</v>
      </c>
      <c r="Z15" s="615" t="str">
        <f>IF(ISERROR(SUM(Z2+Z3+Z4+Z5+Z6+Z7+Z8+Z9+Z10+Z11+Z12+Z13+Z14)), "Insufficient Data", SUM(Z2:Z14))</f>
        <v>Insufficient Data</v>
      </c>
      <c r="AA15" s="615" t="str">
        <f>IF(ISERROR(SUM(AA2+AA3+AA4+AA5+AA6+AA7+AA8+AA9+AA10+AA11+AA12+AA13+AA14)), "Insufficient Data", SUM(AA2:AA14))</f>
        <v>Insufficient Data</v>
      </c>
      <c r="AB15" s="615" t="str">
        <f>IF(ISERROR(SUM(AB2+AB3+AB4+AB5+AB6+AB7+AB8+AB9+AB10+AB11+AB12+AB13+AB14)), "Insufficient Data", SUM(AB2:AB14))</f>
        <v>Insufficient Data</v>
      </c>
      <c r="AC15" s="619" t="str">
        <f>IF(ISERROR(SUM(AC2+AC3+AC4+AC5+AC6+AC7+AC8+AC9+AC10+AC11+AC12+AC13+AC14)), "Insufficient Data", SUM(AC2:AC14))</f>
        <v>Insufficient Data</v>
      </c>
    </row>
    <row r="16" spans="1:30">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t="s">
        <v>1886</v>
      </c>
      <c r="R16" t="s">
        <v>1887</v>
      </c>
      <c r="S16" t="str">
        <f>IF(ISERROR(Q8_COGS_2012/Q8_Inv_2012), "No Inventory", Q8_COGS_2012/Q8_Inv_2012)</f>
        <v>No Inventory</v>
      </c>
      <c r="T16" t="str">
        <f>IF(ISERROR(Q8_COGS_2013/Q8_Inv_2013), "No Inventory", Q8_COGS_2013/Q8_Inv_2013)</f>
        <v>No Inventory</v>
      </c>
      <c r="U16" t="str">
        <f>IF(ISERROR(Q8_COGS_2014/Q8_Inv_2014), "No Inventory", Q8_COGS_2014/Q8_Inv_2014)</f>
        <v>No Inventory</v>
      </c>
      <c r="V16" t="str">
        <f>IF(ISERROR(Q8_COGS_2015/Q8_Inv_2015), "No Inventory", Q8_COGS_2015/Q8_Inv_2015)</f>
        <v>No Inventory</v>
      </c>
      <c r="W16" s="592">
        <f>IF(ISERROR(IF((V16-S16)&lt;-1, 1, 0)), 0, IF((V16-S16)&lt;-1, 1, 0))</f>
        <v>0</v>
      </c>
      <c r="X16" s="611" t="s">
        <v>1888</v>
      </c>
      <c r="Y16" s="616">
        <f>IF($W16="No Inventory", 0, $W16)</f>
        <v>0</v>
      </c>
      <c r="Z16" s="616">
        <f>IF($W16="No Inventory", 0, $W16)</f>
        <v>0</v>
      </c>
      <c r="AA16" s="616">
        <f>IF($W16="No Inventory", 0, $W16)</f>
        <v>0</v>
      </c>
      <c r="AB16" s="616">
        <f>IF($W16="No Inventory", 0, $W16)</f>
        <v>0</v>
      </c>
      <c r="AC16" s="620">
        <f>IF($W16="No Inventory", 0, $W16)</f>
        <v>0</v>
      </c>
    </row>
    <row r="17" spans="1:30">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t="s">
        <v>1886</v>
      </c>
      <c r="R17" t="s">
        <v>1889</v>
      </c>
      <c r="S17" t="str">
        <f>IF(ISERROR(Q9a_RD_Expend_Total_2012/Q8_NetSales_2012), "No Sales", Q9a_RD_Expend_Total_2012/Q8_NetSales_2012)</f>
        <v>No Sales</v>
      </c>
      <c r="T17" t="str">
        <f>IF(ISERROR(Q9a_RD_Expend_Total_2013/Q8_NetSales_2013), "No Sales", Q9a_RD_Expend_Total_2013/Q8_NetSales_2013)</f>
        <v>No Sales</v>
      </c>
      <c r="U17" t="str">
        <f>IF(ISERROR(Q9a_RD_Expend_Total_2014/Q8_NetSales_2014), "No Sales", Q9a_RD_Expend_Total_2014/Q8_NetSales_2014)</f>
        <v>No Sales</v>
      </c>
      <c r="V17" t="str">
        <f>IF(ISERROR(Q9a_RD_Expend_Total_2015/Q8_NetSales_2015), "No Sales", Q9a_RD_Expend_Total_2015/Q8_NetSales_2015)</f>
        <v>No Sales</v>
      </c>
      <c r="W17" s="592">
        <f>IF(ISERROR(IF((V17-S17)&lt;-0.01, 1, 0)),0, IF((V17-S17)&lt;-0.01, 1, 0))</f>
        <v>0</v>
      </c>
      <c r="X17" s="612" t="s">
        <v>1890</v>
      </c>
      <c r="Y17" s="617">
        <f>$W17</f>
        <v>0</v>
      </c>
      <c r="Z17" s="617">
        <f t="shared" ref="Z17:AC19" si="2">$W17</f>
        <v>0</v>
      </c>
      <c r="AA17" s="617">
        <f t="shared" si="2"/>
        <v>0</v>
      </c>
      <c r="AB17" s="617">
        <f t="shared" si="2"/>
        <v>0</v>
      </c>
      <c r="AC17" s="621">
        <f t="shared" si="2"/>
        <v>0</v>
      </c>
    </row>
    <row r="18" spans="1:30">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t="s">
        <v>1886</v>
      </c>
      <c r="R18" t="s">
        <v>1891</v>
      </c>
      <c r="S18">
        <f>Q8_NetSales_2012</f>
        <v>0</v>
      </c>
      <c r="T18">
        <f>Q8_NetSales_2013</f>
        <v>0</v>
      </c>
      <c r="U18">
        <f>Q8_NetSales_2014</f>
        <v>0</v>
      </c>
      <c r="V18">
        <f>Q8_NetSales_2015</f>
        <v>0</v>
      </c>
      <c r="W18" s="592">
        <f>IF(ISERROR(IF((V18-S18)&lt;0, 1, 0)), 0, IF((V18-S18)&lt;0, 1, 0))</f>
        <v>0</v>
      </c>
      <c r="X18" s="612" t="s">
        <v>1893</v>
      </c>
      <c r="Y18" s="617">
        <f>$W18</f>
        <v>0</v>
      </c>
      <c r="Z18" s="617">
        <f t="shared" si="2"/>
        <v>0</v>
      </c>
      <c r="AA18" s="617">
        <f t="shared" si="2"/>
        <v>0</v>
      </c>
      <c r="AB18" s="617">
        <f t="shared" si="2"/>
        <v>0</v>
      </c>
      <c r="AC18" s="621">
        <f t="shared" si="2"/>
        <v>0</v>
      </c>
    </row>
    <row r="19" spans="1:30" ht="15.75" thickBot="1">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t="s">
        <v>1886</v>
      </c>
      <c r="R19" t="s">
        <v>1892</v>
      </c>
      <c r="S19">
        <f>Q8_OpInc_2012</f>
        <v>0</v>
      </c>
      <c r="T19">
        <f>Q8_OpInc_2013</f>
        <v>0</v>
      </c>
      <c r="U19">
        <f>Q8_OpInc_2014</f>
        <v>0</v>
      </c>
      <c r="V19">
        <f>Q8_OpInc_2015</f>
        <v>0</v>
      </c>
      <c r="W19" s="592">
        <f>IF(ISERROR(IF((V19-S19)&lt;0, 1, 0)), 0, IF((V19-S19)&lt;0, 1, 0))</f>
        <v>0</v>
      </c>
      <c r="X19" s="612" t="s">
        <v>1893</v>
      </c>
      <c r="Y19" s="617">
        <f>$W19</f>
        <v>0</v>
      </c>
      <c r="Z19" s="617">
        <f t="shared" si="2"/>
        <v>0</v>
      </c>
      <c r="AA19" s="617">
        <f t="shared" si="2"/>
        <v>0</v>
      </c>
      <c r="AB19" s="617">
        <f t="shared" si="2"/>
        <v>0</v>
      </c>
      <c r="AC19" s="621">
        <f t="shared" si="2"/>
        <v>0</v>
      </c>
    </row>
    <row r="20" spans="1:30" ht="15.75" thickBot="1">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X20" s="609" t="s">
        <v>1913</v>
      </c>
      <c r="Y20" s="608" t="str">
        <f>IF(ISERROR(Y15+Y16+Y17+Y18+Y19),"Insufficient Data",SUM(Y15:Y19))</f>
        <v>Insufficient Data</v>
      </c>
      <c r="Z20" s="608" t="str">
        <f>IF(ISERROR(Z15+Z16+Z17+Z18+Z19),"Insufficient Data",SUM(Z15:Z19))</f>
        <v>Insufficient Data</v>
      </c>
      <c r="AA20" s="608" t="str">
        <f>IF(ISERROR(AA15+AA16+AA17+AA18+AA19),"Insufficient Data",SUM(AA15:AA19))</f>
        <v>Insufficient Data</v>
      </c>
      <c r="AB20" s="608" t="str">
        <f>IF(ISERROR(AB15+AB16+AB17+AB18+AB19),"Insufficient Data",SUM(AB15:AB19))</f>
        <v>Insufficient Data</v>
      </c>
      <c r="AC20" s="610" t="str">
        <f>IF(ISERROR(AC15+AC16+AC17+AC18+AC19),"Insufficient Data",SUM(AC15:AC19))</f>
        <v>Insufficient Data</v>
      </c>
    </row>
    <row r="21" spans="1:30" ht="15.75" thickBot="1">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t="s">
        <v>1894</v>
      </c>
      <c r="R21" t="s">
        <v>1895</v>
      </c>
      <c r="S21" t="str">
        <f>Y20</f>
        <v>Insufficient Data</v>
      </c>
      <c r="T21" t="str">
        <f>Z20</f>
        <v>Insufficient Data</v>
      </c>
      <c r="U21" t="str">
        <f>AA20</f>
        <v>Insufficient Data</v>
      </c>
      <c r="V21" t="str">
        <f>AB20</f>
        <v>Insufficient Data</v>
      </c>
      <c r="W21" s="592">
        <f>IF(ISERROR(IF(V21-S21&lt;=-3,-1,IF(V21-S21&gt;=3,1,0))), 0, IF(V21-S21&lt;=-3,-1,IF(V21-S21&gt;=3,1,0)))</f>
        <v>0</v>
      </c>
      <c r="X21" s="613" t="s">
        <v>1914</v>
      </c>
      <c r="Y21" s="618">
        <f>$W21</f>
        <v>0</v>
      </c>
      <c r="Z21" s="618">
        <f>$W21</f>
        <v>0</v>
      </c>
      <c r="AA21" s="618">
        <f>$W21</f>
        <v>0</v>
      </c>
      <c r="AB21" s="618">
        <f>$W21</f>
        <v>0</v>
      </c>
      <c r="AC21" s="622">
        <f>$W21</f>
        <v>0</v>
      </c>
    </row>
    <row r="22" spans="1:30" ht="15.75" thickBot="1">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X22" s="609" t="s">
        <v>1915</v>
      </c>
      <c r="Y22" s="608" t="str">
        <f>IF(ISERROR(Y20+Y21),"Insufficient Data",Y20+Y21)</f>
        <v>Insufficient Data</v>
      </c>
      <c r="Z22" s="608" t="str">
        <f>IF(ISERROR(Z20+Z21),"Insufficient Data",Z20+Z21)</f>
        <v>Insufficient Data</v>
      </c>
      <c r="AA22" s="608" t="str">
        <f>IF(ISERROR(AA20+AA21),"Insufficient Data",AA20+AA21)</f>
        <v>Insufficient Data</v>
      </c>
      <c r="AB22" s="608" t="str">
        <f>IF(ISERROR(AB20+AB21),"Insufficient Data",AB20+AB21)</f>
        <v>Insufficient Data</v>
      </c>
      <c r="AC22" s="610" t="str">
        <f>IF(ISERROR(AC20+AC21),"Insufficient Data",AC20+AC21)</f>
        <v>Insufficient Data</v>
      </c>
    </row>
    <row r="23" spans="1:30">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X23" t="s">
        <v>1916</v>
      </c>
      <c r="AD23" s="614" t="str">
        <f>IF(ISERROR(Y22+Z22+AA22+AB22), "Insufficient Data", Y22+Z22+AA22+AB22)</f>
        <v>Insufficient Data</v>
      </c>
    </row>
    <row r="24" spans="1:30">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X24" t="s">
        <v>1896</v>
      </c>
      <c r="AA24" t="s">
        <v>2243</v>
      </c>
      <c r="AD24" s="614" t="str">
        <f>IF(AD23&lt;=30, "Low/Neutral Risk", IF(AD23&lt;=60, "Moderate/Elevated Risk", IF(AD23&lt;=100, "High/Severe Risk", "Uncalculated")))</f>
        <v>Uncalculated</v>
      </c>
    </row>
    <row r="25" spans="1:30">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t="s">
        <v>1897</v>
      </c>
      <c r="R25">
        <f>Q8_IS_Source</f>
        <v>0</v>
      </c>
      <c r="AA25" t="s">
        <v>2244</v>
      </c>
    </row>
    <row r="26" spans="1:30">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t="s">
        <v>1898</v>
      </c>
      <c r="R26">
        <f>Q8_BS_Source</f>
        <v>0</v>
      </c>
      <c r="AA26" t="s">
        <v>2245</v>
      </c>
    </row>
    <row r="27" spans="1:30">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X27" t="s">
        <v>1918</v>
      </c>
      <c r="AD27" s="614" t="str">
        <f>IF(AND(R26&lt;&gt;0, R26&lt;&gt;0), IF(R25&lt;&gt;R26, "Source Data Mismatch", Risk2015), Risk2015)</f>
        <v>Insufficient Data</v>
      </c>
    </row>
    <row r="28" spans="1:30">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X28" t="s">
        <v>1899</v>
      </c>
      <c r="AD28" s="614" t="str">
        <f>IF(AND(R26&lt;&gt;0, R26&lt;&gt;0), IF(R25&lt;&gt;R26, "Source Data Mismatch", RiskFinalScore), RiskFinalScore)</f>
        <v>Insufficient Data</v>
      </c>
    </row>
    <row r="29" spans="1:30">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X29" t="s">
        <v>1900</v>
      </c>
      <c r="AD29" s="614" t="str">
        <f>IF(AND(R26&lt;&gt;0, R26&lt;&gt;0), IF(R25&lt;&gt;R26, "Source Data Mismatch", RiskFinalRating), RiskFinalRating)</f>
        <v>Uncalculated</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7"/>
  <sheetViews>
    <sheetView zoomScale="85" zoomScaleNormal="85" workbookViewId="0">
      <selection activeCell="A2" sqref="A2:P2"/>
    </sheetView>
  </sheetViews>
  <sheetFormatPr defaultRowHeight="15"/>
  <cols>
    <col min="24" max="24" width="9.140625" style="623"/>
  </cols>
  <sheetData>
    <row r="1" spans="1:24">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1820</v>
      </c>
      <c r="R1" t="s">
        <v>1821</v>
      </c>
      <c r="S1" t="s">
        <v>1929</v>
      </c>
      <c r="T1" t="s">
        <v>1919</v>
      </c>
      <c r="U1" t="s">
        <v>1838</v>
      </c>
      <c r="V1" t="s">
        <v>98</v>
      </c>
      <c r="W1" t="s">
        <v>1824</v>
      </c>
      <c r="X1" s="623" t="s">
        <v>1825</v>
      </c>
    </row>
    <row r="2" spans="1:24">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33" si="0">Q9a_Schedule</f>
        <v>0</v>
      </c>
      <c r="R2">
        <f t="shared" ref="R2:R33" si="1">Q9a_Source</f>
        <v>0</v>
      </c>
      <c r="S2" s="588">
        <f t="shared" ref="S2:S33" si="2">Q9a_RD_YN</f>
        <v>0</v>
      </c>
      <c r="T2" t="s">
        <v>1920</v>
      </c>
      <c r="U2" t="s">
        <v>1921</v>
      </c>
      <c r="V2">
        <v>2012</v>
      </c>
      <c r="W2" s="588">
        <f>Q9a_RD_Expend_Total_2012</f>
        <v>0</v>
      </c>
    </row>
    <row r="3" spans="1:24">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s="588">
        <f t="shared" si="2"/>
        <v>0</v>
      </c>
      <c r="T3" t="s">
        <v>1920</v>
      </c>
      <c r="U3" t="s">
        <v>17</v>
      </c>
      <c r="V3">
        <v>2012</v>
      </c>
      <c r="W3" s="597">
        <f>W2*X3</f>
        <v>0</v>
      </c>
      <c r="X3" s="623">
        <f>Q9a_RD_Expend_BasicPct_2012</f>
        <v>0</v>
      </c>
    </row>
    <row r="4" spans="1:24">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s="588">
        <f t="shared" si="2"/>
        <v>0</v>
      </c>
      <c r="T4" t="s">
        <v>1920</v>
      </c>
      <c r="U4" t="s">
        <v>14</v>
      </c>
      <c r="V4">
        <v>2012</v>
      </c>
      <c r="W4" s="597">
        <f>W2*X4</f>
        <v>0</v>
      </c>
      <c r="X4" s="623">
        <f>Q9a_RD_Expend_AppliedPct_2012</f>
        <v>0</v>
      </c>
    </row>
    <row r="5" spans="1:24">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s="588">
        <f t="shared" si="2"/>
        <v>0</v>
      </c>
      <c r="T5" t="s">
        <v>1920</v>
      </c>
      <c r="U5" t="s">
        <v>24</v>
      </c>
      <c r="V5">
        <v>2012</v>
      </c>
      <c r="W5" s="597">
        <f>W2*X5</f>
        <v>0</v>
      </c>
      <c r="X5" s="623">
        <f>Q9a_RD_Expend_PPDPct_2012</f>
        <v>0</v>
      </c>
    </row>
    <row r="6" spans="1:24">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s="588">
        <f t="shared" si="2"/>
        <v>0</v>
      </c>
      <c r="T6" t="s">
        <v>1920</v>
      </c>
      <c r="U6" t="s">
        <v>1930</v>
      </c>
      <c r="V6">
        <v>2012</v>
      </c>
      <c r="W6" s="597">
        <f>W2*X6</f>
        <v>0</v>
      </c>
      <c r="X6" s="623">
        <f>Q9a_RD_Expend_BarePct_2012</f>
        <v>0</v>
      </c>
    </row>
    <row r="7" spans="1:24">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s="588">
        <f t="shared" si="2"/>
        <v>0</v>
      </c>
      <c r="T7" t="s">
        <v>1920</v>
      </c>
      <c r="U7" t="s">
        <v>1931</v>
      </c>
      <c r="V7">
        <v>2012</v>
      </c>
      <c r="W7" s="597">
        <f>W2*X7</f>
        <v>0</v>
      </c>
      <c r="X7" s="623">
        <f>Q9a_RD_Expend_BareDefPct_2012</f>
        <v>0</v>
      </c>
    </row>
    <row r="8" spans="1:24">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s="588">
        <f t="shared" si="2"/>
        <v>0</v>
      </c>
      <c r="T8" t="s">
        <v>1920</v>
      </c>
      <c r="U8" t="s">
        <v>1921</v>
      </c>
      <c r="V8">
        <v>2013</v>
      </c>
      <c r="W8" s="588">
        <f>Q9a_RD_Expend_Total_2013</f>
        <v>0</v>
      </c>
    </row>
    <row r="9" spans="1:24">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s="588">
        <f t="shared" si="2"/>
        <v>0</v>
      </c>
      <c r="T9" t="s">
        <v>1920</v>
      </c>
      <c r="U9" t="s">
        <v>17</v>
      </c>
      <c r="V9">
        <v>2013</v>
      </c>
      <c r="W9" s="597">
        <f>W8*X9</f>
        <v>0</v>
      </c>
      <c r="X9" s="623">
        <f>Q9a_RD_Expend_BasicPct_2013</f>
        <v>0</v>
      </c>
    </row>
    <row r="10" spans="1:24">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s="588">
        <f t="shared" si="2"/>
        <v>0</v>
      </c>
      <c r="T10" t="s">
        <v>1920</v>
      </c>
      <c r="U10" t="s">
        <v>14</v>
      </c>
      <c r="V10">
        <v>2013</v>
      </c>
      <c r="W10" s="597">
        <f>W8*X10</f>
        <v>0</v>
      </c>
      <c r="X10" s="623">
        <f>Q9a_RD_Expend_AppliedPct_2013</f>
        <v>0</v>
      </c>
    </row>
    <row r="11" spans="1:24">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s="588">
        <f t="shared" si="2"/>
        <v>0</v>
      </c>
      <c r="T11" t="s">
        <v>1920</v>
      </c>
      <c r="U11" t="s">
        <v>24</v>
      </c>
      <c r="V11">
        <v>2013</v>
      </c>
      <c r="W11" s="597">
        <f>W8*X11</f>
        <v>0</v>
      </c>
      <c r="X11" s="623">
        <f>Q9a_RD_Expend_PPDPct_2013</f>
        <v>0</v>
      </c>
    </row>
    <row r="12" spans="1:24">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s="588">
        <f t="shared" si="2"/>
        <v>0</v>
      </c>
      <c r="T12" t="s">
        <v>1920</v>
      </c>
      <c r="U12" t="s">
        <v>1930</v>
      </c>
      <c r="V12">
        <v>2013</v>
      </c>
      <c r="W12" s="597">
        <f>W8*X12</f>
        <v>0</v>
      </c>
      <c r="X12" s="623">
        <f>Q9a_RD_Expend_BarePct_2013</f>
        <v>0</v>
      </c>
    </row>
    <row r="13" spans="1:24">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s="588">
        <f t="shared" si="2"/>
        <v>0</v>
      </c>
      <c r="T13" t="s">
        <v>1920</v>
      </c>
      <c r="U13" t="s">
        <v>1931</v>
      </c>
      <c r="V13">
        <v>2013</v>
      </c>
      <c r="W13" s="597">
        <f>W8*X13</f>
        <v>0</v>
      </c>
      <c r="X13" s="623">
        <f>Q9a_RD_Expend_BareDefPct_2013</f>
        <v>0</v>
      </c>
    </row>
    <row r="14" spans="1:24">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s="588">
        <f t="shared" si="2"/>
        <v>0</v>
      </c>
      <c r="T14" t="s">
        <v>1920</v>
      </c>
      <c r="U14" t="s">
        <v>1921</v>
      </c>
      <c r="V14">
        <v>2014</v>
      </c>
      <c r="W14" s="588">
        <f>Q9a_RD_Expend_Total_2014</f>
        <v>0</v>
      </c>
    </row>
    <row r="15" spans="1:24">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s="588">
        <f t="shared" si="2"/>
        <v>0</v>
      </c>
      <c r="T15" t="s">
        <v>1920</v>
      </c>
      <c r="U15" t="s">
        <v>17</v>
      </c>
      <c r="V15">
        <v>2014</v>
      </c>
      <c r="W15" s="597">
        <f>W14*X15</f>
        <v>0</v>
      </c>
      <c r="X15" s="623">
        <f>Q9a_RD_Expend_BasicPct_2014</f>
        <v>0</v>
      </c>
    </row>
    <row r="16" spans="1:24">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s="588">
        <f t="shared" si="2"/>
        <v>0</v>
      </c>
      <c r="T16" t="s">
        <v>1920</v>
      </c>
      <c r="U16" t="s">
        <v>14</v>
      </c>
      <c r="V16">
        <v>2014</v>
      </c>
      <c r="W16" s="597">
        <f>W14*X16</f>
        <v>0</v>
      </c>
      <c r="X16" s="623">
        <f>Q9a_RD_Expend_AppliedPct_2014</f>
        <v>0</v>
      </c>
    </row>
    <row r="17" spans="1:24">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s="588">
        <f t="shared" si="2"/>
        <v>0</v>
      </c>
      <c r="T17" t="s">
        <v>1920</v>
      </c>
      <c r="U17" t="s">
        <v>24</v>
      </c>
      <c r="V17">
        <v>2014</v>
      </c>
      <c r="W17" s="597">
        <f>W14*X17</f>
        <v>0</v>
      </c>
      <c r="X17" s="623">
        <f>Q9a_RD_Expend_PPDPct_2014</f>
        <v>0</v>
      </c>
    </row>
    <row r="18" spans="1:24">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s="588">
        <f t="shared" si="2"/>
        <v>0</v>
      </c>
      <c r="T18" t="s">
        <v>1920</v>
      </c>
      <c r="U18" t="s">
        <v>1930</v>
      </c>
      <c r="V18">
        <v>2014</v>
      </c>
      <c r="W18" s="597">
        <f>W14*X18</f>
        <v>0</v>
      </c>
      <c r="X18" s="623">
        <f>Q9a_RD_Expend_BarePct_2014</f>
        <v>0</v>
      </c>
    </row>
    <row r="19" spans="1:24">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s="588">
        <f t="shared" si="2"/>
        <v>0</v>
      </c>
      <c r="T19" t="s">
        <v>1920</v>
      </c>
      <c r="U19" t="s">
        <v>1931</v>
      </c>
      <c r="V19">
        <v>2014</v>
      </c>
      <c r="W19" s="597">
        <f>W14*X19</f>
        <v>0</v>
      </c>
      <c r="X19" s="623">
        <f>Q9a_RD_Expend_BareDefPct_2014</f>
        <v>0</v>
      </c>
    </row>
    <row r="20" spans="1:24">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s="588">
        <f t="shared" si="2"/>
        <v>0</v>
      </c>
      <c r="T20" t="s">
        <v>1920</v>
      </c>
      <c r="U20" t="s">
        <v>1921</v>
      </c>
      <c r="V20">
        <v>2015</v>
      </c>
      <c r="W20" s="588">
        <f>Q9a_RD_Expend_Total_2015</f>
        <v>0</v>
      </c>
    </row>
    <row r="21" spans="1:24">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s="588">
        <f t="shared" si="2"/>
        <v>0</v>
      </c>
      <c r="T21" t="s">
        <v>1920</v>
      </c>
      <c r="U21" t="s">
        <v>17</v>
      </c>
      <c r="V21">
        <v>2015</v>
      </c>
      <c r="W21" s="597">
        <f>W20*X21</f>
        <v>0</v>
      </c>
      <c r="X21" s="623">
        <f>Q9a_RD_Expend_BasicPct_2015</f>
        <v>0</v>
      </c>
    </row>
    <row r="22" spans="1:24">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si="0"/>
        <v>0</v>
      </c>
      <c r="R22">
        <f t="shared" si="1"/>
        <v>0</v>
      </c>
      <c r="S22" s="588">
        <f t="shared" si="2"/>
        <v>0</v>
      </c>
      <c r="T22" t="s">
        <v>1920</v>
      </c>
      <c r="U22" t="s">
        <v>14</v>
      </c>
      <c r="V22">
        <v>2015</v>
      </c>
      <c r="W22" s="597">
        <f>W20*X22</f>
        <v>0</v>
      </c>
      <c r="X22" s="623">
        <f>Q9a_RD_Expend_AppliedPct_2015</f>
        <v>0</v>
      </c>
    </row>
    <row r="23" spans="1:24">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0"/>
        <v>0</v>
      </c>
      <c r="R23">
        <f t="shared" si="1"/>
        <v>0</v>
      </c>
      <c r="S23" s="588">
        <f t="shared" si="2"/>
        <v>0</v>
      </c>
      <c r="T23" t="s">
        <v>1920</v>
      </c>
      <c r="U23" t="s">
        <v>24</v>
      </c>
      <c r="V23">
        <v>2015</v>
      </c>
      <c r="W23" s="597">
        <f>W20*X23</f>
        <v>0</v>
      </c>
      <c r="X23" s="623">
        <f>Q9a_RD_Expend_PPDPct_2015</f>
        <v>0</v>
      </c>
    </row>
    <row r="24" spans="1:24">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0"/>
        <v>0</v>
      </c>
      <c r="R24">
        <f t="shared" si="1"/>
        <v>0</v>
      </c>
      <c r="S24" s="588">
        <f t="shared" si="2"/>
        <v>0</v>
      </c>
      <c r="T24" t="s">
        <v>1920</v>
      </c>
      <c r="U24" t="s">
        <v>1930</v>
      </c>
      <c r="V24">
        <v>2015</v>
      </c>
      <c r="W24" s="597">
        <f>W20*X24</f>
        <v>0</v>
      </c>
      <c r="X24" s="623">
        <f>Q9a_RD_Expend_BarePct_2015</f>
        <v>0</v>
      </c>
    </row>
    <row r="25" spans="1:24">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0"/>
        <v>0</v>
      </c>
      <c r="R25">
        <f t="shared" si="1"/>
        <v>0</v>
      </c>
      <c r="S25" s="588">
        <f t="shared" si="2"/>
        <v>0</v>
      </c>
      <c r="T25" t="s">
        <v>1920</v>
      </c>
      <c r="U25" t="s">
        <v>1931</v>
      </c>
      <c r="V25">
        <v>2015</v>
      </c>
      <c r="W25" s="597">
        <f>W20*X25</f>
        <v>0</v>
      </c>
      <c r="X25" s="623">
        <f>Q9a_RD_Expend_BareDefPct_2015</f>
        <v>0</v>
      </c>
    </row>
    <row r="26" spans="1:24">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0"/>
        <v>0</v>
      </c>
      <c r="R26">
        <f t="shared" si="1"/>
        <v>0</v>
      </c>
      <c r="S26" s="588">
        <f t="shared" si="2"/>
        <v>0</v>
      </c>
      <c r="T26" t="s">
        <v>1922</v>
      </c>
      <c r="U26" t="s">
        <v>1923</v>
      </c>
      <c r="V26">
        <v>2012</v>
      </c>
      <c r="W26" s="588">
        <f>Q9a_RD_Fund_Total_2012</f>
        <v>0</v>
      </c>
    </row>
    <row r="27" spans="1:24">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0"/>
        <v>0</v>
      </c>
      <c r="R27">
        <f t="shared" si="1"/>
        <v>0</v>
      </c>
      <c r="S27" s="588">
        <f t="shared" si="2"/>
        <v>0</v>
      </c>
      <c r="T27" t="s">
        <v>1922</v>
      </c>
      <c r="U27" t="s">
        <v>1924</v>
      </c>
      <c r="V27">
        <v>2012</v>
      </c>
      <c r="W27" s="597">
        <f>W26*X27</f>
        <v>0</v>
      </c>
      <c r="X27" s="623">
        <f>Q9a_RD_Fund_IRADPct_2012</f>
        <v>0</v>
      </c>
    </row>
    <row r="28" spans="1:24">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0"/>
        <v>0</v>
      </c>
      <c r="R28">
        <f t="shared" si="1"/>
        <v>0</v>
      </c>
      <c r="S28" s="588">
        <f t="shared" si="2"/>
        <v>0</v>
      </c>
      <c r="T28" t="s">
        <v>1922</v>
      </c>
      <c r="U28" t="s">
        <v>1925</v>
      </c>
      <c r="V28">
        <v>2012</v>
      </c>
      <c r="W28" s="597">
        <f>W26*X28</f>
        <v>0</v>
      </c>
      <c r="X28" s="623">
        <f>Q9a_RD_Fund_USGPct_2012</f>
        <v>0</v>
      </c>
    </row>
    <row r="29" spans="1:24">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0"/>
        <v>0</v>
      </c>
      <c r="R29">
        <f t="shared" si="1"/>
        <v>0</v>
      </c>
      <c r="S29" s="588">
        <f t="shared" si="2"/>
        <v>0</v>
      </c>
      <c r="T29" t="s">
        <v>1922</v>
      </c>
      <c r="U29" t="s">
        <v>1926</v>
      </c>
      <c r="V29">
        <v>2012</v>
      </c>
      <c r="W29" s="597">
        <f>W26*X29</f>
        <v>0</v>
      </c>
      <c r="X29" s="623">
        <f>Q9a_RD_Fund_LocalPct_2012</f>
        <v>0</v>
      </c>
    </row>
    <row r="30" spans="1:24">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f t="shared" si="0"/>
        <v>0</v>
      </c>
      <c r="R30">
        <f t="shared" si="1"/>
        <v>0</v>
      </c>
      <c r="S30" s="588">
        <f t="shared" si="2"/>
        <v>0</v>
      </c>
      <c r="T30" t="s">
        <v>1922</v>
      </c>
      <c r="U30" t="s">
        <v>973</v>
      </c>
      <c r="V30">
        <v>2012</v>
      </c>
      <c r="W30" s="597">
        <f>W26*X30</f>
        <v>0</v>
      </c>
      <c r="X30" s="623">
        <f>Q9a_RD_Fund_UniPct_2012</f>
        <v>0</v>
      </c>
    </row>
    <row r="31" spans="1:24">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f t="shared" si="0"/>
        <v>0</v>
      </c>
      <c r="R31">
        <f t="shared" si="1"/>
        <v>0</v>
      </c>
      <c r="S31" s="588">
        <f t="shared" si="2"/>
        <v>0</v>
      </c>
      <c r="T31" t="s">
        <v>1922</v>
      </c>
      <c r="U31" t="s">
        <v>1927</v>
      </c>
      <c r="V31">
        <v>2012</v>
      </c>
      <c r="W31" s="597">
        <f>W26*X31</f>
        <v>0</v>
      </c>
      <c r="X31" s="623">
        <f>Q9a_RD_Fund_IndustryPct_2012</f>
        <v>0</v>
      </c>
    </row>
    <row r="32" spans="1:24">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f t="shared" si="0"/>
        <v>0</v>
      </c>
      <c r="R32">
        <f t="shared" si="1"/>
        <v>0</v>
      </c>
      <c r="S32" s="588">
        <f t="shared" si="2"/>
        <v>0</v>
      </c>
      <c r="T32" t="s">
        <v>1922</v>
      </c>
      <c r="U32" t="s">
        <v>1928</v>
      </c>
      <c r="V32">
        <v>2012</v>
      </c>
      <c r="W32" s="597">
        <f>W26*X32</f>
        <v>0</v>
      </c>
      <c r="X32" s="623">
        <f>Q9a_RD_Fund_NonUSPct_2012</f>
        <v>0</v>
      </c>
    </row>
    <row r="33" spans="1:34">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f t="shared" si="0"/>
        <v>0</v>
      </c>
      <c r="R33">
        <f t="shared" si="1"/>
        <v>0</v>
      </c>
      <c r="S33" s="588">
        <f t="shared" si="2"/>
        <v>0</v>
      </c>
      <c r="T33" t="s">
        <v>1922</v>
      </c>
      <c r="U33" t="str">
        <f>Q9a_RD_Fund_Other_Specify</f>
        <v>(specify here)</v>
      </c>
      <c r="V33">
        <v>2012</v>
      </c>
      <c r="W33" s="597">
        <f>W26*X33</f>
        <v>0</v>
      </c>
      <c r="X33" s="623">
        <f>Q9a_RD_Fund_OtherPct_2012</f>
        <v>0</v>
      </c>
    </row>
    <row r="34" spans="1:34">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f t="shared" ref="Q34:Q57" si="3">Q9a_Schedule</f>
        <v>0</v>
      </c>
      <c r="R34">
        <f t="shared" ref="R34:R57" si="4">Q9a_Source</f>
        <v>0</v>
      </c>
      <c r="S34" s="588">
        <f t="shared" ref="S34:S57" si="5">Q9a_RD_YN</f>
        <v>0</v>
      </c>
      <c r="T34" t="s">
        <v>1922</v>
      </c>
      <c r="U34" t="s">
        <v>1923</v>
      </c>
      <c r="V34">
        <v>2013</v>
      </c>
      <c r="W34" s="588">
        <f>Q9a_RD_Fund_Total_2013</f>
        <v>0</v>
      </c>
    </row>
    <row r="35" spans="1:34">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f t="shared" si="3"/>
        <v>0</v>
      </c>
      <c r="R35">
        <f t="shared" si="4"/>
        <v>0</v>
      </c>
      <c r="S35" s="588">
        <f t="shared" si="5"/>
        <v>0</v>
      </c>
      <c r="T35" t="s">
        <v>1922</v>
      </c>
      <c r="U35" t="s">
        <v>1924</v>
      </c>
      <c r="V35">
        <v>2013</v>
      </c>
      <c r="W35" s="597">
        <f>W34*X35</f>
        <v>0</v>
      </c>
      <c r="X35" s="623">
        <f>Q9a_RD_Fund_IRADPct_2013</f>
        <v>0</v>
      </c>
    </row>
    <row r="36" spans="1:34">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f t="shared" si="3"/>
        <v>0</v>
      </c>
      <c r="R36">
        <f t="shared" si="4"/>
        <v>0</v>
      </c>
      <c r="S36" s="588">
        <f t="shared" si="5"/>
        <v>0</v>
      </c>
      <c r="T36" t="s">
        <v>1922</v>
      </c>
      <c r="U36" t="s">
        <v>1925</v>
      </c>
      <c r="V36">
        <v>2013</v>
      </c>
      <c r="W36" s="597">
        <f>W34*X36</f>
        <v>0</v>
      </c>
      <c r="X36" s="623">
        <f>Q9a_RD_Fund_USGPct_2013</f>
        <v>0</v>
      </c>
    </row>
    <row r="37" spans="1:34">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f t="shared" si="3"/>
        <v>0</v>
      </c>
      <c r="R37">
        <f t="shared" si="4"/>
        <v>0</v>
      </c>
      <c r="S37" s="588">
        <f t="shared" si="5"/>
        <v>0</v>
      </c>
      <c r="T37" t="s">
        <v>1922</v>
      </c>
      <c r="U37" t="s">
        <v>1926</v>
      </c>
      <c r="V37">
        <v>2013</v>
      </c>
      <c r="W37" s="597">
        <f>W34*X37</f>
        <v>0</v>
      </c>
      <c r="X37" s="623">
        <f>Q9a_RD_Fund_LocalPct_2013</f>
        <v>0</v>
      </c>
    </row>
    <row r="38" spans="1:34">
      <c r="A38">
        <f>'D-RP-1'!A$2</f>
        <v>0</v>
      </c>
      <c r="B38">
        <f>'D-RP-1'!B$2</f>
        <v>0</v>
      </c>
      <c r="C38">
        <f>'D-RP-1'!C$2</f>
        <v>0</v>
      </c>
      <c r="D38">
        <f>'D-RP-1'!D$2</f>
        <v>0</v>
      </c>
      <c r="E38">
        <f>'D-RP-1'!E$2</f>
        <v>0</v>
      </c>
      <c r="F38">
        <f>'D-RP-1'!F$2</f>
        <v>0</v>
      </c>
      <c r="G38">
        <f>'D-RP-1'!G$2</f>
        <v>0</v>
      </c>
      <c r="H38">
        <f>'D-RP-1'!H$2</f>
        <v>0</v>
      </c>
      <c r="I38">
        <f>'D-RP-1'!I$2</f>
        <v>0</v>
      </c>
      <c r="J38">
        <f>'D-RP-1'!J$2</f>
        <v>0</v>
      </c>
      <c r="K38">
        <f>'D-RP-1'!K$2</f>
        <v>0</v>
      </c>
      <c r="L38" t="str">
        <f>'D-RP-1'!L$2</f>
        <v>No Sales</v>
      </c>
      <c r="M38">
        <f>'D-RP-1'!M$2</f>
        <v>0</v>
      </c>
      <c r="N38" t="str">
        <f>'D-RP-1'!N$2</f>
        <v>Insufficient Data</v>
      </c>
      <c r="O38" t="str">
        <f>'D-RP-1'!O$2</f>
        <v>Insufficient Data</v>
      </c>
      <c r="P38" t="str">
        <f>'D-RP-1'!P$2</f>
        <v>Uncalculated</v>
      </c>
      <c r="Q38">
        <f t="shared" si="3"/>
        <v>0</v>
      </c>
      <c r="R38">
        <f t="shared" si="4"/>
        <v>0</v>
      </c>
      <c r="S38" s="588">
        <f t="shared" si="5"/>
        <v>0</v>
      </c>
      <c r="T38" t="s">
        <v>1922</v>
      </c>
      <c r="U38" t="s">
        <v>973</v>
      </c>
      <c r="V38">
        <v>2013</v>
      </c>
      <c r="W38" s="597">
        <f>W34*X38</f>
        <v>0</v>
      </c>
      <c r="X38" s="623">
        <f>Q9a_RD_Fund_UniPct_2013</f>
        <v>0</v>
      </c>
    </row>
    <row r="39" spans="1:34">
      <c r="A39">
        <f>'D-RP-1'!A$2</f>
        <v>0</v>
      </c>
      <c r="B39">
        <f>'D-RP-1'!B$2</f>
        <v>0</v>
      </c>
      <c r="C39">
        <f>'D-RP-1'!C$2</f>
        <v>0</v>
      </c>
      <c r="D39">
        <f>'D-RP-1'!D$2</f>
        <v>0</v>
      </c>
      <c r="E39">
        <f>'D-RP-1'!E$2</f>
        <v>0</v>
      </c>
      <c r="F39">
        <f>'D-RP-1'!F$2</f>
        <v>0</v>
      </c>
      <c r="G39">
        <f>'D-RP-1'!G$2</f>
        <v>0</v>
      </c>
      <c r="H39">
        <f>'D-RP-1'!H$2</f>
        <v>0</v>
      </c>
      <c r="I39">
        <f>'D-RP-1'!I$2</f>
        <v>0</v>
      </c>
      <c r="J39">
        <f>'D-RP-1'!J$2</f>
        <v>0</v>
      </c>
      <c r="K39">
        <f>'D-RP-1'!K$2</f>
        <v>0</v>
      </c>
      <c r="L39" t="str">
        <f>'D-RP-1'!L$2</f>
        <v>No Sales</v>
      </c>
      <c r="M39">
        <f>'D-RP-1'!M$2</f>
        <v>0</v>
      </c>
      <c r="N39" t="str">
        <f>'D-RP-1'!N$2</f>
        <v>Insufficient Data</v>
      </c>
      <c r="O39" t="str">
        <f>'D-RP-1'!O$2</f>
        <v>Insufficient Data</v>
      </c>
      <c r="P39" t="str">
        <f>'D-RP-1'!P$2</f>
        <v>Uncalculated</v>
      </c>
      <c r="Q39">
        <f t="shared" si="3"/>
        <v>0</v>
      </c>
      <c r="R39">
        <f t="shared" si="4"/>
        <v>0</v>
      </c>
      <c r="S39" s="588">
        <f t="shared" si="5"/>
        <v>0</v>
      </c>
      <c r="T39" t="s">
        <v>1922</v>
      </c>
      <c r="U39" t="s">
        <v>1927</v>
      </c>
      <c r="V39">
        <v>2013</v>
      </c>
      <c r="W39" s="597">
        <f>W34*X39</f>
        <v>0</v>
      </c>
      <c r="X39" s="623">
        <f>Q9a_RD_Fund_IndustryPct_2013</f>
        <v>0</v>
      </c>
    </row>
    <row r="40" spans="1:34">
      <c r="A40">
        <f>'D-RP-1'!A$2</f>
        <v>0</v>
      </c>
      <c r="B40">
        <f>'D-RP-1'!B$2</f>
        <v>0</v>
      </c>
      <c r="C40">
        <f>'D-RP-1'!C$2</f>
        <v>0</v>
      </c>
      <c r="D40">
        <f>'D-RP-1'!D$2</f>
        <v>0</v>
      </c>
      <c r="E40">
        <f>'D-RP-1'!E$2</f>
        <v>0</v>
      </c>
      <c r="F40">
        <f>'D-RP-1'!F$2</f>
        <v>0</v>
      </c>
      <c r="G40">
        <f>'D-RP-1'!G$2</f>
        <v>0</v>
      </c>
      <c r="H40">
        <f>'D-RP-1'!H$2</f>
        <v>0</v>
      </c>
      <c r="I40">
        <f>'D-RP-1'!I$2</f>
        <v>0</v>
      </c>
      <c r="J40">
        <f>'D-RP-1'!J$2</f>
        <v>0</v>
      </c>
      <c r="K40">
        <f>'D-RP-1'!K$2</f>
        <v>0</v>
      </c>
      <c r="L40" t="str">
        <f>'D-RP-1'!L$2</f>
        <v>No Sales</v>
      </c>
      <c r="M40">
        <f>'D-RP-1'!M$2</f>
        <v>0</v>
      </c>
      <c r="N40" t="str">
        <f>'D-RP-1'!N$2</f>
        <v>Insufficient Data</v>
      </c>
      <c r="O40" t="str">
        <f>'D-RP-1'!O$2</f>
        <v>Insufficient Data</v>
      </c>
      <c r="P40" t="str">
        <f>'D-RP-1'!P$2</f>
        <v>Uncalculated</v>
      </c>
      <c r="Q40">
        <f t="shared" si="3"/>
        <v>0</v>
      </c>
      <c r="R40">
        <f t="shared" si="4"/>
        <v>0</v>
      </c>
      <c r="S40" s="588">
        <f t="shared" si="5"/>
        <v>0</v>
      </c>
      <c r="T40" t="s">
        <v>1922</v>
      </c>
      <c r="U40" t="s">
        <v>1928</v>
      </c>
      <c r="V40">
        <v>2013</v>
      </c>
      <c r="W40" s="597">
        <f>W34*X40</f>
        <v>0</v>
      </c>
      <c r="X40" s="623">
        <f>Q9a_RD_Fund_NonUSPct_2013</f>
        <v>0</v>
      </c>
    </row>
    <row r="41" spans="1:34">
      <c r="A41">
        <f>'D-RP-1'!A$2</f>
        <v>0</v>
      </c>
      <c r="B41">
        <f>'D-RP-1'!B$2</f>
        <v>0</v>
      </c>
      <c r="C41">
        <f>'D-RP-1'!C$2</f>
        <v>0</v>
      </c>
      <c r="D41">
        <f>'D-RP-1'!D$2</f>
        <v>0</v>
      </c>
      <c r="E41">
        <f>'D-RP-1'!E$2</f>
        <v>0</v>
      </c>
      <c r="F41">
        <f>'D-RP-1'!F$2</f>
        <v>0</v>
      </c>
      <c r="G41">
        <f>'D-RP-1'!G$2</f>
        <v>0</v>
      </c>
      <c r="H41">
        <f>'D-RP-1'!H$2</f>
        <v>0</v>
      </c>
      <c r="I41">
        <f>'D-RP-1'!I$2</f>
        <v>0</v>
      </c>
      <c r="J41">
        <f>'D-RP-1'!J$2</f>
        <v>0</v>
      </c>
      <c r="K41">
        <f>'D-RP-1'!K$2</f>
        <v>0</v>
      </c>
      <c r="L41" t="str">
        <f>'D-RP-1'!L$2</f>
        <v>No Sales</v>
      </c>
      <c r="M41">
        <f>'D-RP-1'!M$2</f>
        <v>0</v>
      </c>
      <c r="N41" t="str">
        <f>'D-RP-1'!N$2</f>
        <v>Insufficient Data</v>
      </c>
      <c r="O41" t="str">
        <f>'D-RP-1'!O$2</f>
        <v>Insufficient Data</v>
      </c>
      <c r="P41" t="str">
        <f>'D-RP-1'!P$2</f>
        <v>Uncalculated</v>
      </c>
      <c r="Q41">
        <f t="shared" si="3"/>
        <v>0</v>
      </c>
      <c r="R41">
        <f t="shared" si="4"/>
        <v>0</v>
      </c>
      <c r="S41" s="588">
        <f t="shared" si="5"/>
        <v>0</v>
      </c>
      <c r="T41" t="s">
        <v>1922</v>
      </c>
      <c r="U41" t="str">
        <f>Q9a_RD_Fund_Other_Specify</f>
        <v>(specify here)</v>
      </c>
      <c r="V41">
        <v>2013</v>
      </c>
      <c r="W41" s="597">
        <f>W34*X41</f>
        <v>0</v>
      </c>
      <c r="X41" s="623">
        <f>Q9a_RD_Fund_OtherPct_2013</f>
        <v>0</v>
      </c>
    </row>
    <row r="42" spans="1:34">
      <c r="A42">
        <f>'D-RP-1'!A$2</f>
        <v>0</v>
      </c>
      <c r="B42">
        <f>'D-RP-1'!B$2</f>
        <v>0</v>
      </c>
      <c r="C42">
        <f>'D-RP-1'!C$2</f>
        <v>0</v>
      </c>
      <c r="D42">
        <f>'D-RP-1'!D$2</f>
        <v>0</v>
      </c>
      <c r="E42">
        <f>'D-RP-1'!E$2</f>
        <v>0</v>
      </c>
      <c r="F42">
        <f>'D-RP-1'!F$2</f>
        <v>0</v>
      </c>
      <c r="G42">
        <f>'D-RP-1'!G$2</f>
        <v>0</v>
      </c>
      <c r="H42">
        <f>'D-RP-1'!H$2</f>
        <v>0</v>
      </c>
      <c r="I42">
        <f>'D-RP-1'!I$2</f>
        <v>0</v>
      </c>
      <c r="J42">
        <f>'D-RP-1'!J$2</f>
        <v>0</v>
      </c>
      <c r="K42">
        <f>'D-RP-1'!K$2</f>
        <v>0</v>
      </c>
      <c r="L42" t="str">
        <f>'D-RP-1'!L$2</f>
        <v>No Sales</v>
      </c>
      <c r="M42">
        <f>'D-RP-1'!M$2</f>
        <v>0</v>
      </c>
      <c r="N42" t="str">
        <f>'D-RP-1'!N$2</f>
        <v>Insufficient Data</v>
      </c>
      <c r="O42" t="str">
        <f>'D-RP-1'!O$2</f>
        <v>Insufficient Data</v>
      </c>
      <c r="P42" t="str">
        <f>'D-RP-1'!P$2</f>
        <v>Uncalculated</v>
      </c>
      <c r="Q42">
        <f t="shared" si="3"/>
        <v>0</v>
      </c>
      <c r="R42">
        <f t="shared" si="4"/>
        <v>0</v>
      </c>
      <c r="S42" s="588">
        <f t="shared" si="5"/>
        <v>0</v>
      </c>
      <c r="T42" t="s">
        <v>1922</v>
      </c>
      <c r="U42" t="s">
        <v>1923</v>
      </c>
      <c r="V42">
        <v>2014</v>
      </c>
      <c r="W42" s="588">
        <f>Q9a_RD_Fund_Total_2014</f>
        <v>0</v>
      </c>
    </row>
    <row r="43" spans="1:34">
      <c r="A43">
        <f>'D-RP-1'!A$2</f>
        <v>0</v>
      </c>
      <c r="B43">
        <f>'D-RP-1'!B$2</f>
        <v>0</v>
      </c>
      <c r="C43">
        <f>'D-RP-1'!C$2</f>
        <v>0</v>
      </c>
      <c r="D43">
        <f>'D-RP-1'!D$2</f>
        <v>0</v>
      </c>
      <c r="E43">
        <f>'D-RP-1'!E$2</f>
        <v>0</v>
      </c>
      <c r="F43">
        <f>'D-RP-1'!F$2</f>
        <v>0</v>
      </c>
      <c r="G43">
        <f>'D-RP-1'!G$2</f>
        <v>0</v>
      </c>
      <c r="H43">
        <f>'D-RP-1'!H$2</f>
        <v>0</v>
      </c>
      <c r="I43">
        <f>'D-RP-1'!I$2</f>
        <v>0</v>
      </c>
      <c r="J43">
        <f>'D-RP-1'!J$2</f>
        <v>0</v>
      </c>
      <c r="K43">
        <f>'D-RP-1'!K$2</f>
        <v>0</v>
      </c>
      <c r="L43" t="str">
        <f>'D-RP-1'!L$2</f>
        <v>No Sales</v>
      </c>
      <c r="M43">
        <f>'D-RP-1'!M$2</f>
        <v>0</v>
      </c>
      <c r="N43" t="str">
        <f>'D-RP-1'!N$2</f>
        <v>Insufficient Data</v>
      </c>
      <c r="O43" t="str">
        <f>'D-RP-1'!O$2</f>
        <v>Insufficient Data</v>
      </c>
      <c r="P43" t="str">
        <f>'D-RP-1'!P$2</f>
        <v>Uncalculated</v>
      </c>
      <c r="Q43">
        <f t="shared" si="3"/>
        <v>0</v>
      </c>
      <c r="R43">
        <f t="shared" si="4"/>
        <v>0</v>
      </c>
      <c r="S43" s="588">
        <f t="shared" si="5"/>
        <v>0</v>
      </c>
      <c r="T43" t="s">
        <v>1922</v>
      </c>
      <c r="U43" t="s">
        <v>1924</v>
      </c>
      <c r="V43">
        <v>2014</v>
      </c>
      <c r="W43" s="597">
        <f>W42*X43</f>
        <v>0</v>
      </c>
      <c r="X43" s="623">
        <f>Q9a_RD_Fund_IRADPct_2014</f>
        <v>0</v>
      </c>
    </row>
    <row r="44" spans="1:34">
      <c r="A44">
        <f>'D-RP-1'!A$2</f>
        <v>0</v>
      </c>
      <c r="B44">
        <f>'D-RP-1'!B$2</f>
        <v>0</v>
      </c>
      <c r="C44">
        <f>'D-RP-1'!C$2</f>
        <v>0</v>
      </c>
      <c r="D44">
        <f>'D-RP-1'!D$2</f>
        <v>0</v>
      </c>
      <c r="E44">
        <f>'D-RP-1'!E$2</f>
        <v>0</v>
      </c>
      <c r="F44">
        <f>'D-RP-1'!F$2</f>
        <v>0</v>
      </c>
      <c r="G44">
        <f>'D-RP-1'!G$2</f>
        <v>0</v>
      </c>
      <c r="H44">
        <f>'D-RP-1'!H$2</f>
        <v>0</v>
      </c>
      <c r="I44">
        <f>'D-RP-1'!I$2</f>
        <v>0</v>
      </c>
      <c r="J44">
        <f>'D-RP-1'!J$2</f>
        <v>0</v>
      </c>
      <c r="K44">
        <f>'D-RP-1'!K$2</f>
        <v>0</v>
      </c>
      <c r="L44" t="str">
        <f>'D-RP-1'!L$2</f>
        <v>No Sales</v>
      </c>
      <c r="M44">
        <f>'D-RP-1'!M$2</f>
        <v>0</v>
      </c>
      <c r="N44" t="str">
        <f>'D-RP-1'!N$2</f>
        <v>Insufficient Data</v>
      </c>
      <c r="O44" t="str">
        <f>'D-RP-1'!O$2</f>
        <v>Insufficient Data</v>
      </c>
      <c r="P44" t="str">
        <f>'D-RP-1'!P$2</f>
        <v>Uncalculated</v>
      </c>
      <c r="Q44">
        <f t="shared" si="3"/>
        <v>0</v>
      </c>
      <c r="R44">
        <f t="shared" si="4"/>
        <v>0</v>
      </c>
      <c r="S44" s="588">
        <f t="shared" si="5"/>
        <v>0</v>
      </c>
      <c r="T44" t="s">
        <v>1922</v>
      </c>
      <c r="U44" t="s">
        <v>1925</v>
      </c>
      <c r="V44">
        <v>2014</v>
      </c>
      <c r="W44" s="597">
        <f>W42*X44</f>
        <v>0</v>
      </c>
      <c r="X44" s="623">
        <f>Q9a_RD_Fund_USGPct_2014</f>
        <v>0</v>
      </c>
    </row>
    <row r="45" spans="1:34">
      <c r="A45">
        <f>'D-RP-1'!A$2</f>
        <v>0</v>
      </c>
      <c r="B45">
        <f>'D-RP-1'!B$2</f>
        <v>0</v>
      </c>
      <c r="C45">
        <f>'D-RP-1'!C$2</f>
        <v>0</v>
      </c>
      <c r="D45">
        <f>'D-RP-1'!D$2</f>
        <v>0</v>
      </c>
      <c r="E45">
        <f>'D-RP-1'!E$2</f>
        <v>0</v>
      </c>
      <c r="F45">
        <f>'D-RP-1'!F$2</f>
        <v>0</v>
      </c>
      <c r="G45">
        <f>'D-RP-1'!G$2</f>
        <v>0</v>
      </c>
      <c r="H45">
        <f>'D-RP-1'!H$2</f>
        <v>0</v>
      </c>
      <c r="I45">
        <f>'D-RP-1'!I$2</f>
        <v>0</v>
      </c>
      <c r="J45">
        <f>'D-RP-1'!J$2</f>
        <v>0</v>
      </c>
      <c r="K45">
        <f>'D-RP-1'!K$2</f>
        <v>0</v>
      </c>
      <c r="L45" t="str">
        <f>'D-RP-1'!L$2</f>
        <v>No Sales</v>
      </c>
      <c r="M45">
        <f>'D-RP-1'!M$2</f>
        <v>0</v>
      </c>
      <c r="N45" t="str">
        <f>'D-RP-1'!N$2</f>
        <v>Insufficient Data</v>
      </c>
      <c r="O45" t="str">
        <f>'D-RP-1'!O$2</f>
        <v>Insufficient Data</v>
      </c>
      <c r="P45" t="str">
        <f>'D-RP-1'!P$2</f>
        <v>Uncalculated</v>
      </c>
      <c r="Q45">
        <f t="shared" si="3"/>
        <v>0</v>
      </c>
      <c r="R45">
        <f t="shared" si="4"/>
        <v>0</v>
      </c>
      <c r="S45" s="588">
        <f t="shared" si="5"/>
        <v>0</v>
      </c>
      <c r="T45" t="s">
        <v>1922</v>
      </c>
      <c r="U45" t="s">
        <v>1926</v>
      </c>
      <c r="V45">
        <v>2014</v>
      </c>
      <c r="W45" s="597">
        <f>W42*X45</f>
        <v>0</v>
      </c>
      <c r="X45" s="623">
        <f>Q9a_RD_Fund_LocalPct_2014</f>
        <v>0</v>
      </c>
    </row>
    <row r="46" spans="1:34">
      <c r="A46">
        <f>'D-RP-1'!A$2</f>
        <v>0</v>
      </c>
      <c r="B46">
        <f>'D-RP-1'!B$2</f>
        <v>0</v>
      </c>
      <c r="C46">
        <f>'D-RP-1'!C$2</f>
        <v>0</v>
      </c>
      <c r="D46">
        <f>'D-RP-1'!D$2</f>
        <v>0</v>
      </c>
      <c r="E46">
        <f>'D-RP-1'!E$2</f>
        <v>0</v>
      </c>
      <c r="F46">
        <f>'D-RP-1'!F$2</f>
        <v>0</v>
      </c>
      <c r="G46">
        <f>'D-RP-1'!G$2</f>
        <v>0</v>
      </c>
      <c r="H46">
        <f>'D-RP-1'!H$2</f>
        <v>0</v>
      </c>
      <c r="I46">
        <f>'D-RP-1'!I$2</f>
        <v>0</v>
      </c>
      <c r="J46">
        <f>'D-RP-1'!J$2</f>
        <v>0</v>
      </c>
      <c r="K46">
        <f>'D-RP-1'!K$2</f>
        <v>0</v>
      </c>
      <c r="L46" t="str">
        <f>'D-RP-1'!L$2</f>
        <v>No Sales</v>
      </c>
      <c r="M46">
        <f>'D-RP-1'!M$2</f>
        <v>0</v>
      </c>
      <c r="N46" t="str">
        <f>'D-RP-1'!N$2</f>
        <v>Insufficient Data</v>
      </c>
      <c r="O46" t="str">
        <f>'D-RP-1'!O$2</f>
        <v>Insufficient Data</v>
      </c>
      <c r="P46" t="str">
        <f>'D-RP-1'!P$2</f>
        <v>Uncalculated</v>
      </c>
      <c r="Q46">
        <f t="shared" si="3"/>
        <v>0</v>
      </c>
      <c r="R46">
        <f t="shared" si="4"/>
        <v>0</v>
      </c>
      <c r="S46" s="588">
        <f t="shared" si="5"/>
        <v>0</v>
      </c>
      <c r="T46" t="s">
        <v>1922</v>
      </c>
      <c r="U46" t="s">
        <v>973</v>
      </c>
      <c r="V46">
        <v>2014</v>
      </c>
      <c r="W46" s="597">
        <f>W42*X46</f>
        <v>0</v>
      </c>
      <c r="X46" s="623">
        <f>Q9a_RD_Fund_UniPct_2014</f>
        <v>0</v>
      </c>
    </row>
    <row r="47" spans="1:34">
      <c r="A47">
        <f>'D-RP-1'!A$2</f>
        <v>0</v>
      </c>
      <c r="B47">
        <f>'D-RP-1'!B$2</f>
        <v>0</v>
      </c>
      <c r="C47">
        <f>'D-RP-1'!C$2</f>
        <v>0</v>
      </c>
      <c r="D47">
        <f>'D-RP-1'!D$2</f>
        <v>0</v>
      </c>
      <c r="E47">
        <f>'D-RP-1'!E$2</f>
        <v>0</v>
      </c>
      <c r="F47">
        <f>'D-RP-1'!F$2</f>
        <v>0</v>
      </c>
      <c r="G47">
        <f>'D-RP-1'!G$2</f>
        <v>0</v>
      </c>
      <c r="H47">
        <f>'D-RP-1'!H$2</f>
        <v>0</v>
      </c>
      <c r="I47">
        <f>'D-RP-1'!I$2</f>
        <v>0</v>
      </c>
      <c r="J47">
        <f>'D-RP-1'!J$2</f>
        <v>0</v>
      </c>
      <c r="K47">
        <f>'D-RP-1'!K$2</f>
        <v>0</v>
      </c>
      <c r="L47" t="str">
        <f>'D-RP-1'!L$2</f>
        <v>No Sales</v>
      </c>
      <c r="M47">
        <f>'D-RP-1'!M$2</f>
        <v>0</v>
      </c>
      <c r="N47" t="str">
        <f>'D-RP-1'!N$2</f>
        <v>Insufficient Data</v>
      </c>
      <c r="O47" t="str">
        <f>'D-RP-1'!O$2</f>
        <v>Insufficient Data</v>
      </c>
      <c r="P47" t="str">
        <f>'D-RP-1'!P$2</f>
        <v>Uncalculated</v>
      </c>
      <c r="Q47">
        <f t="shared" si="3"/>
        <v>0</v>
      </c>
      <c r="R47">
        <f t="shared" si="4"/>
        <v>0</v>
      </c>
      <c r="S47" s="588">
        <f t="shared" si="5"/>
        <v>0</v>
      </c>
      <c r="T47" t="s">
        <v>1922</v>
      </c>
      <c r="U47" t="s">
        <v>1927</v>
      </c>
      <c r="V47">
        <v>2014</v>
      </c>
      <c r="W47" s="597">
        <f>W42*X47</f>
        <v>0</v>
      </c>
      <c r="X47" s="623">
        <f>Q9a_RD_Fund_IndustryPct_2014</f>
        <v>0</v>
      </c>
    </row>
    <row r="48" spans="1:34">
      <c r="A48">
        <f>'D-RP-1'!A$2</f>
        <v>0</v>
      </c>
      <c r="B48">
        <f>'D-RP-1'!B$2</f>
        <v>0</v>
      </c>
      <c r="C48">
        <f>'D-RP-1'!C$2</f>
        <v>0</v>
      </c>
      <c r="D48">
        <f>'D-RP-1'!D$2</f>
        <v>0</v>
      </c>
      <c r="E48">
        <f>'D-RP-1'!E$2</f>
        <v>0</v>
      </c>
      <c r="F48">
        <f>'D-RP-1'!F$2</f>
        <v>0</v>
      </c>
      <c r="G48">
        <f>'D-RP-1'!G$2</f>
        <v>0</v>
      </c>
      <c r="H48">
        <f>'D-RP-1'!H$2</f>
        <v>0</v>
      </c>
      <c r="I48">
        <f>'D-RP-1'!I$2</f>
        <v>0</v>
      </c>
      <c r="J48">
        <f>'D-RP-1'!J$2</f>
        <v>0</v>
      </c>
      <c r="K48">
        <f>'D-RP-1'!K$2</f>
        <v>0</v>
      </c>
      <c r="L48" t="str">
        <f>'D-RP-1'!L$2</f>
        <v>No Sales</v>
      </c>
      <c r="M48">
        <f>'D-RP-1'!M$2</f>
        <v>0</v>
      </c>
      <c r="N48" t="str">
        <f>'D-RP-1'!N$2</f>
        <v>Insufficient Data</v>
      </c>
      <c r="O48" t="str">
        <f>'D-RP-1'!O$2</f>
        <v>Insufficient Data</v>
      </c>
      <c r="P48" t="str">
        <f>'D-RP-1'!P$2</f>
        <v>Uncalculated</v>
      </c>
      <c r="Q48">
        <f t="shared" si="3"/>
        <v>0</v>
      </c>
      <c r="R48">
        <f t="shared" si="4"/>
        <v>0</v>
      </c>
      <c r="S48" s="588">
        <f t="shared" si="5"/>
        <v>0</v>
      </c>
      <c r="T48" t="s">
        <v>1922</v>
      </c>
      <c r="U48" t="s">
        <v>1928</v>
      </c>
      <c r="V48">
        <v>2014</v>
      </c>
      <c r="W48" s="597">
        <f>W42*X48</f>
        <v>0</v>
      </c>
      <c r="X48" s="623">
        <f>Q9a_RD_Fund_NonUSPct_2014</f>
        <v>0</v>
      </c>
      <c r="AH48" s="588"/>
    </row>
    <row r="49" spans="1:34">
      <c r="A49">
        <f>'D-RP-1'!A$2</f>
        <v>0</v>
      </c>
      <c r="B49">
        <f>'D-RP-1'!B$2</f>
        <v>0</v>
      </c>
      <c r="C49">
        <f>'D-RP-1'!C$2</f>
        <v>0</v>
      </c>
      <c r="D49">
        <f>'D-RP-1'!D$2</f>
        <v>0</v>
      </c>
      <c r="E49">
        <f>'D-RP-1'!E$2</f>
        <v>0</v>
      </c>
      <c r="F49">
        <f>'D-RP-1'!F$2</f>
        <v>0</v>
      </c>
      <c r="G49">
        <f>'D-RP-1'!G$2</f>
        <v>0</v>
      </c>
      <c r="H49">
        <f>'D-RP-1'!H$2</f>
        <v>0</v>
      </c>
      <c r="I49">
        <f>'D-RP-1'!I$2</f>
        <v>0</v>
      </c>
      <c r="J49">
        <f>'D-RP-1'!J$2</f>
        <v>0</v>
      </c>
      <c r="K49">
        <f>'D-RP-1'!K$2</f>
        <v>0</v>
      </c>
      <c r="L49" t="str">
        <f>'D-RP-1'!L$2</f>
        <v>No Sales</v>
      </c>
      <c r="M49">
        <f>'D-RP-1'!M$2</f>
        <v>0</v>
      </c>
      <c r="N49" t="str">
        <f>'D-RP-1'!N$2</f>
        <v>Insufficient Data</v>
      </c>
      <c r="O49" t="str">
        <f>'D-RP-1'!O$2</f>
        <v>Insufficient Data</v>
      </c>
      <c r="P49" t="str">
        <f>'D-RP-1'!P$2</f>
        <v>Uncalculated</v>
      </c>
      <c r="Q49">
        <f t="shared" si="3"/>
        <v>0</v>
      </c>
      <c r="R49">
        <f t="shared" si="4"/>
        <v>0</v>
      </c>
      <c r="S49" s="588">
        <f t="shared" si="5"/>
        <v>0</v>
      </c>
      <c r="T49" t="s">
        <v>1922</v>
      </c>
      <c r="U49" t="str">
        <f>Q9a_RD_Fund_Other_Specify</f>
        <v>(specify here)</v>
      </c>
      <c r="V49">
        <v>2014</v>
      </c>
      <c r="W49" s="597">
        <f>W42*X49</f>
        <v>0</v>
      </c>
      <c r="X49" s="623">
        <f>Q9a_RD_Fund_OtherPct_2014</f>
        <v>0</v>
      </c>
    </row>
    <row r="50" spans="1:34">
      <c r="A50">
        <f>'D-RP-1'!A$2</f>
        <v>0</v>
      </c>
      <c r="B50">
        <f>'D-RP-1'!B$2</f>
        <v>0</v>
      </c>
      <c r="C50">
        <f>'D-RP-1'!C$2</f>
        <v>0</v>
      </c>
      <c r="D50">
        <f>'D-RP-1'!D$2</f>
        <v>0</v>
      </c>
      <c r="E50">
        <f>'D-RP-1'!E$2</f>
        <v>0</v>
      </c>
      <c r="F50">
        <f>'D-RP-1'!F$2</f>
        <v>0</v>
      </c>
      <c r="G50">
        <f>'D-RP-1'!G$2</f>
        <v>0</v>
      </c>
      <c r="H50">
        <f>'D-RP-1'!H$2</f>
        <v>0</v>
      </c>
      <c r="I50">
        <f>'D-RP-1'!I$2</f>
        <v>0</v>
      </c>
      <c r="J50">
        <f>'D-RP-1'!J$2</f>
        <v>0</v>
      </c>
      <c r="K50">
        <f>'D-RP-1'!K$2</f>
        <v>0</v>
      </c>
      <c r="L50" t="str">
        <f>'D-RP-1'!L$2</f>
        <v>No Sales</v>
      </c>
      <c r="M50">
        <f>'D-RP-1'!M$2</f>
        <v>0</v>
      </c>
      <c r="N50" t="str">
        <f>'D-RP-1'!N$2</f>
        <v>Insufficient Data</v>
      </c>
      <c r="O50" t="str">
        <f>'D-RP-1'!O$2</f>
        <v>Insufficient Data</v>
      </c>
      <c r="P50" t="str">
        <f>'D-RP-1'!P$2</f>
        <v>Uncalculated</v>
      </c>
      <c r="Q50">
        <f t="shared" si="3"/>
        <v>0</v>
      </c>
      <c r="R50">
        <f t="shared" si="4"/>
        <v>0</v>
      </c>
      <c r="S50" s="588">
        <f t="shared" si="5"/>
        <v>0</v>
      </c>
      <c r="T50" t="s">
        <v>1922</v>
      </c>
      <c r="U50" t="s">
        <v>1923</v>
      </c>
      <c r="V50">
        <v>2015</v>
      </c>
      <c r="W50" s="588">
        <f>Q9a_RD_Fund_Total_2015</f>
        <v>0</v>
      </c>
    </row>
    <row r="51" spans="1:34">
      <c r="A51">
        <f>'D-RP-1'!A$2</f>
        <v>0</v>
      </c>
      <c r="B51">
        <f>'D-RP-1'!B$2</f>
        <v>0</v>
      </c>
      <c r="C51">
        <f>'D-RP-1'!C$2</f>
        <v>0</v>
      </c>
      <c r="D51">
        <f>'D-RP-1'!D$2</f>
        <v>0</v>
      </c>
      <c r="E51">
        <f>'D-RP-1'!E$2</f>
        <v>0</v>
      </c>
      <c r="F51">
        <f>'D-RP-1'!F$2</f>
        <v>0</v>
      </c>
      <c r="G51">
        <f>'D-RP-1'!G$2</f>
        <v>0</v>
      </c>
      <c r="H51">
        <f>'D-RP-1'!H$2</f>
        <v>0</v>
      </c>
      <c r="I51">
        <f>'D-RP-1'!I$2</f>
        <v>0</v>
      </c>
      <c r="J51">
        <f>'D-RP-1'!J$2</f>
        <v>0</v>
      </c>
      <c r="K51">
        <f>'D-RP-1'!K$2</f>
        <v>0</v>
      </c>
      <c r="L51" t="str">
        <f>'D-RP-1'!L$2</f>
        <v>No Sales</v>
      </c>
      <c r="M51">
        <f>'D-RP-1'!M$2</f>
        <v>0</v>
      </c>
      <c r="N51" t="str">
        <f>'D-RP-1'!N$2</f>
        <v>Insufficient Data</v>
      </c>
      <c r="O51" t="str">
        <f>'D-RP-1'!O$2</f>
        <v>Insufficient Data</v>
      </c>
      <c r="P51" t="str">
        <f>'D-RP-1'!P$2</f>
        <v>Uncalculated</v>
      </c>
      <c r="Q51">
        <f t="shared" si="3"/>
        <v>0</v>
      </c>
      <c r="R51">
        <f t="shared" si="4"/>
        <v>0</v>
      </c>
      <c r="S51" s="588">
        <f t="shared" si="5"/>
        <v>0</v>
      </c>
      <c r="T51" t="s">
        <v>1922</v>
      </c>
      <c r="U51" t="s">
        <v>1924</v>
      </c>
      <c r="V51">
        <v>2015</v>
      </c>
      <c r="W51" s="597">
        <f>W50*X51</f>
        <v>0</v>
      </c>
      <c r="X51" s="623">
        <f>Q9a_RD_Fund_IRADPct_2015</f>
        <v>0</v>
      </c>
    </row>
    <row r="52" spans="1:34">
      <c r="A52">
        <f>'D-RP-1'!A$2</f>
        <v>0</v>
      </c>
      <c r="B52">
        <f>'D-RP-1'!B$2</f>
        <v>0</v>
      </c>
      <c r="C52">
        <f>'D-RP-1'!C$2</f>
        <v>0</v>
      </c>
      <c r="D52">
        <f>'D-RP-1'!D$2</f>
        <v>0</v>
      </c>
      <c r="E52">
        <f>'D-RP-1'!E$2</f>
        <v>0</v>
      </c>
      <c r="F52">
        <f>'D-RP-1'!F$2</f>
        <v>0</v>
      </c>
      <c r="G52">
        <f>'D-RP-1'!G$2</f>
        <v>0</v>
      </c>
      <c r="H52">
        <f>'D-RP-1'!H$2</f>
        <v>0</v>
      </c>
      <c r="I52">
        <f>'D-RP-1'!I$2</f>
        <v>0</v>
      </c>
      <c r="J52">
        <f>'D-RP-1'!J$2</f>
        <v>0</v>
      </c>
      <c r="K52">
        <f>'D-RP-1'!K$2</f>
        <v>0</v>
      </c>
      <c r="L52" t="str">
        <f>'D-RP-1'!L$2</f>
        <v>No Sales</v>
      </c>
      <c r="M52">
        <f>'D-RP-1'!M$2</f>
        <v>0</v>
      </c>
      <c r="N52" t="str">
        <f>'D-RP-1'!N$2</f>
        <v>Insufficient Data</v>
      </c>
      <c r="O52" t="str">
        <f>'D-RP-1'!O$2</f>
        <v>Insufficient Data</v>
      </c>
      <c r="P52" t="str">
        <f>'D-RP-1'!P$2</f>
        <v>Uncalculated</v>
      </c>
      <c r="Q52">
        <f t="shared" si="3"/>
        <v>0</v>
      </c>
      <c r="R52">
        <f t="shared" si="4"/>
        <v>0</v>
      </c>
      <c r="S52" s="588">
        <f t="shared" si="5"/>
        <v>0</v>
      </c>
      <c r="T52" t="s">
        <v>1922</v>
      </c>
      <c r="U52" t="s">
        <v>1925</v>
      </c>
      <c r="V52">
        <v>2015</v>
      </c>
      <c r="W52" s="597">
        <f>W50*X52</f>
        <v>0</v>
      </c>
      <c r="X52" s="623">
        <f>Q9a_RD_Fund_USGPct_2015</f>
        <v>0</v>
      </c>
    </row>
    <row r="53" spans="1:34">
      <c r="A53">
        <f>'D-RP-1'!A$2</f>
        <v>0</v>
      </c>
      <c r="B53">
        <f>'D-RP-1'!B$2</f>
        <v>0</v>
      </c>
      <c r="C53">
        <f>'D-RP-1'!C$2</f>
        <v>0</v>
      </c>
      <c r="D53">
        <f>'D-RP-1'!D$2</f>
        <v>0</v>
      </c>
      <c r="E53">
        <f>'D-RP-1'!E$2</f>
        <v>0</v>
      </c>
      <c r="F53">
        <f>'D-RP-1'!F$2</f>
        <v>0</v>
      </c>
      <c r="G53">
        <f>'D-RP-1'!G$2</f>
        <v>0</v>
      </c>
      <c r="H53">
        <f>'D-RP-1'!H$2</f>
        <v>0</v>
      </c>
      <c r="I53">
        <f>'D-RP-1'!I$2</f>
        <v>0</v>
      </c>
      <c r="J53">
        <f>'D-RP-1'!J$2</f>
        <v>0</v>
      </c>
      <c r="K53">
        <f>'D-RP-1'!K$2</f>
        <v>0</v>
      </c>
      <c r="L53" t="str">
        <f>'D-RP-1'!L$2</f>
        <v>No Sales</v>
      </c>
      <c r="M53">
        <f>'D-RP-1'!M$2</f>
        <v>0</v>
      </c>
      <c r="N53" t="str">
        <f>'D-RP-1'!N$2</f>
        <v>Insufficient Data</v>
      </c>
      <c r="O53" t="str">
        <f>'D-RP-1'!O$2</f>
        <v>Insufficient Data</v>
      </c>
      <c r="P53" t="str">
        <f>'D-RP-1'!P$2</f>
        <v>Uncalculated</v>
      </c>
      <c r="Q53">
        <f t="shared" si="3"/>
        <v>0</v>
      </c>
      <c r="R53">
        <f t="shared" si="4"/>
        <v>0</v>
      </c>
      <c r="S53" s="588">
        <f t="shared" si="5"/>
        <v>0</v>
      </c>
      <c r="T53" t="s">
        <v>1922</v>
      </c>
      <c r="U53" t="s">
        <v>1926</v>
      </c>
      <c r="V53">
        <v>2015</v>
      </c>
      <c r="W53" s="597">
        <f>W50*X53</f>
        <v>0</v>
      </c>
      <c r="X53" s="623">
        <f>Q9a_RD_Fund_LocalPct_2015</f>
        <v>0</v>
      </c>
      <c r="AH53" s="588"/>
    </row>
    <row r="54" spans="1:34">
      <c r="A54">
        <f>'D-RP-1'!A$2</f>
        <v>0</v>
      </c>
      <c r="B54">
        <f>'D-RP-1'!B$2</f>
        <v>0</v>
      </c>
      <c r="C54">
        <f>'D-RP-1'!C$2</f>
        <v>0</v>
      </c>
      <c r="D54">
        <f>'D-RP-1'!D$2</f>
        <v>0</v>
      </c>
      <c r="E54">
        <f>'D-RP-1'!E$2</f>
        <v>0</v>
      </c>
      <c r="F54">
        <f>'D-RP-1'!F$2</f>
        <v>0</v>
      </c>
      <c r="G54">
        <f>'D-RP-1'!G$2</f>
        <v>0</v>
      </c>
      <c r="H54">
        <f>'D-RP-1'!H$2</f>
        <v>0</v>
      </c>
      <c r="I54">
        <f>'D-RP-1'!I$2</f>
        <v>0</v>
      </c>
      <c r="J54">
        <f>'D-RP-1'!J$2</f>
        <v>0</v>
      </c>
      <c r="K54">
        <f>'D-RP-1'!K$2</f>
        <v>0</v>
      </c>
      <c r="L54" t="str">
        <f>'D-RP-1'!L$2</f>
        <v>No Sales</v>
      </c>
      <c r="M54">
        <f>'D-RP-1'!M$2</f>
        <v>0</v>
      </c>
      <c r="N54" t="str">
        <f>'D-RP-1'!N$2</f>
        <v>Insufficient Data</v>
      </c>
      <c r="O54" t="str">
        <f>'D-RP-1'!O$2</f>
        <v>Insufficient Data</v>
      </c>
      <c r="P54" t="str">
        <f>'D-RP-1'!P$2</f>
        <v>Uncalculated</v>
      </c>
      <c r="Q54">
        <f t="shared" si="3"/>
        <v>0</v>
      </c>
      <c r="R54">
        <f t="shared" si="4"/>
        <v>0</v>
      </c>
      <c r="S54" s="588">
        <f t="shared" si="5"/>
        <v>0</v>
      </c>
      <c r="T54" t="s">
        <v>1922</v>
      </c>
      <c r="U54" t="s">
        <v>973</v>
      </c>
      <c r="V54">
        <v>2015</v>
      </c>
      <c r="W54" s="597">
        <f>W50*X54</f>
        <v>0</v>
      </c>
      <c r="X54" s="623">
        <f>Q9a_RD_Fund_UniPct_2015</f>
        <v>0</v>
      </c>
    </row>
    <row r="55" spans="1:34">
      <c r="A55">
        <f>'D-RP-1'!A$2</f>
        <v>0</v>
      </c>
      <c r="B55">
        <f>'D-RP-1'!B$2</f>
        <v>0</v>
      </c>
      <c r="C55">
        <f>'D-RP-1'!C$2</f>
        <v>0</v>
      </c>
      <c r="D55">
        <f>'D-RP-1'!D$2</f>
        <v>0</v>
      </c>
      <c r="E55">
        <f>'D-RP-1'!E$2</f>
        <v>0</v>
      </c>
      <c r="F55">
        <f>'D-RP-1'!F$2</f>
        <v>0</v>
      </c>
      <c r="G55">
        <f>'D-RP-1'!G$2</f>
        <v>0</v>
      </c>
      <c r="H55">
        <f>'D-RP-1'!H$2</f>
        <v>0</v>
      </c>
      <c r="I55">
        <f>'D-RP-1'!I$2</f>
        <v>0</v>
      </c>
      <c r="J55">
        <f>'D-RP-1'!J$2</f>
        <v>0</v>
      </c>
      <c r="K55">
        <f>'D-RP-1'!K$2</f>
        <v>0</v>
      </c>
      <c r="L55" t="str">
        <f>'D-RP-1'!L$2</f>
        <v>No Sales</v>
      </c>
      <c r="M55">
        <f>'D-RP-1'!M$2</f>
        <v>0</v>
      </c>
      <c r="N55" t="str">
        <f>'D-RP-1'!N$2</f>
        <v>Insufficient Data</v>
      </c>
      <c r="O55" t="str">
        <f>'D-RP-1'!O$2</f>
        <v>Insufficient Data</v>
      </c>
      <c r="P55" t="str">
        <f>'D-RP-1'!P$2</f>
        <v>Uncalculated</v>
      </c>
      <c r="Q55">
        <f t="shared" si="3"/>
        <v>0</v>
      </c>
      <c r="R55">
        <f t="shared" si="4"/>
        <v>0</v>
      </c>
      <c r="S55" s="588">
        <f t="shared" si="5"/>
        <v>0</v>
      </c>
      <c r="T55" t="s">
        <v>1922</v>
      </c>
      <c r="U55" t="s">
        <v>1927</v>
      </c>
      <c r="V55">
        <v>2015</v>
      </c>
      <c r="W55" s="597">
        <f>W50*X55</f>
        <v>0</v>
      </c>
      <c r="X55" s="623">
        <f>Q9a_RD_Fund_IndustryPct_2015</f>
        <v>0</v>
      </c>
    </row>
    <row r="56" spans="1:34">
      <c r="A56">
        <f>'D-RP-1'!A$2</f>
        <v>0</v>
      </c>
      <c r="B56">
        <f>'D-RP-1'!B$2</f>
        <v>0</v>
      </c>
      <c r="C56">
        <f>'D-RP-1'!C$2</f>
        <v>0</v>
      </c>
      <c r="D56">
        <f>'D-RP-1'!D$2</f>
        <v>0</v>
      </c>
      <c r="E56">
        <f>'D-RP-1'!E$2</f>
        <v>0</v>
      </c>
      <c r="F56">
        <f>'D-RP-1'!F$2</f>
        <v>0</v>
      </c>
      <c r="G56">
        <f>'D-RP-1'!G$2</f>
        <v>0</v>
      </c>
      <c r="H56">
        <f>'D-RP-1'!H$2</f>
        <v>0</v>
      </c>
      <c r="I56">
        <f>'D-RP-1'!I$2</f>
        <v>0</v>
      </c>
      <c r="J56">
        <f>'D-RP-1'!J$2</f>
        <v>0</v>
      </c>
      <c r="K56">
        <f>'D-RP-1'!K$2</f>
        <v>0</v>
      </c>
      <c r="L56" t="str">
        <f>'D-RP-1'!L$2</f>
        <v>No Sales</v>
      </c>
      <c r="M56">
        <f>'D-RP-1'!M$2</f>
        <v>0</v>
      </c>
      <c r="N56" t="str">
        <f>'D-RP-1'!N$2</f>
        <v>Insufficient Data</v>
      </c>
      <c r="O56" t="str">
        <f>'D-RP-1'!O$2</f>
        <v>Insufficient Data</v>
      </c>
      <c r="P56" t="str">
        <f>'D-RP-1'!P$2</f>
        <v>Uncalculated</v>
      </c>
      <c r="Q56">
        <f t="shared" si="3"/>
        <v>0</v>
      </c>
      <c r="R56">
        <f t="shared" si="4"/>
        <v>0</v>
      </c>
      <c r="S56" s="588">
        <f t="shared" si="5"/>
        <v>0</v>
      </c>
      <c r="T56" t="s">
        <v>1922</v>
      </c>
      <c r="U56" t="s">
        <v>1928</v>
      </c>
      <c r="V56">
        <v>2015</v>
      </c>
      <c r="W56" s="597">
        <f>W50*X56</f>
        <v>0</v>
      </c>
      <c r="X56" s="623">
        <f>Q9a_RD_Fund_NonUSPct_2015</f>
        <v>0</v>
      </c>
    </row>
    <row r="57" spans="1:34">
      <c r="A57">
        <f>'D-RP-1'!A$2</f>
        <v>0</v>
      </c>
      <c r="B57">
        <f>'D-RP-1'!B$2</f>
        <v>0</v>
      </c>
      <c r="C57">
        <f>'D-RP-1'!C$2</f>
        <v>0</v>
      </c>
      <c r="D57">
        <f>'D-RP-1'!D$2</f>
        <v>0</v>
      </c>
      <c r="E57">
        <f>'D-RP-1'!E$2</f>
        <v>0</v>
      </c>
      <c r="F57">
        <f>'D-RP-1'!F$2</f>
        <v>0</v>
      </c>
      <c r="G57">
        <f>'D-RP-1'!G$2</f>
        <v>0</v>
      </c>
      <c r="H57">
        <f>'D-RP-1'!H$2</f>
        <v>0</v>
      </c>
      <c r="I57">
        <f>'D-RP-1'!I$2</f>
        <v>0</v>
      </c>
      <c r="J57">
        <f>'D-RP-1'!J$2</f>
        <v>0</v>
      </c>
      <c r="K57">
        <f>'D-RP-1'!K$2</f>
        <v>0</v>
      </c>
      <c r="L57" t="str">
        <f>'D-RP-1'!L$2</f>
        <v>No Sales</v>
      </c>
      <c r="M57">
        <f>'D-RP-1'!M$2</f>
        <v>0</v>
      </c>
      <c r="N57" t="str">
        <f>'D-RP-1'!N$2</f>
        <v>Insufficient Data</v>
      </c>
      <c r="O57" t="str">
        <f>'D-RP-1'!O$2</f>
        <v>Insufficient Data</v>
      </c>
      <c r="P57" t="str">
        <f>'D-RP-1'!P$2</f>
        <v>Uncalculated</v>
      </c>
      <c r="Q57">
        <f t="shared" si="3"/>
        <v>0</v>
      </c>
      <c r="R57">
        <f t="shared" si="4"/>
        <v>0</v>
      </c>
      <c r="S57" s="588">
        <f t="shared" si="5"/>
        <v>0</v>
      </c>
      <c r="T57" t="s">
        <v>1922</v>
      </c>
      <c r="U57" t="str">
        <f>Q9a_RD_Fund_Other_Specify</f>
        <v>(specify here)</v>
      </c>
      <c r="V57">
        <v>2015</v>
      </c>
      <c r="W57" s="597">
        <f>W50*X57</f>
        <v>0</v>
      </c>
      <c r="X57" s="623">
        <f>Q9a_RD_Fund_OtherPct_2015</f>
        <v>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1"/>
  <sheetViews>
    <sheetView zoomScale="85" zoomScaleNormal="85" workbookViewId="0">
      <selection activeCell="A2" sqref="A2:P2"/>
    </sheetView>
  </sheetViews>
  <sheetFormatPr defaultRowHeight="15"/>
  <sheetData>
    <row r="1" spans="1:5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1932</v>
      </c>
      <c r="R1" t="s">
        <v>1933</v>
      </c>
      <c r="S1" t="s">
        <v>1934</v>
      </c>
      <c r="T1" t="s">
        <v>1935</v>
      </c>
      <c r="U1" t="s">
        <v>1936</v>
      </c>
      <c r="V1" t="s">
        <v>1937</v>
      </c>
      <c r="W1" t="s">
        <v>1938</v>
      </c>
      <c r="X1" t="s">
        <v>1939</v>
      </c>
      <c r="Y1" t="s">
        <v>1940</v>
      </c>
      <c r="Z1" t="s">
        <v>1941</v>
      </c>
      <c r="AA1" t="s">
        <v>1942</v>
      </c>
      <c r="AB1" t="s">
        <v>1943</v>
      </c>
      <c r="AC1" t="s">
        <v>1944</v>
      </c>
      <c r="AD1" t="s">
        <v>1945</v>
      </c>
      <c r="AE1" t="s">
        <v>1946</v>
      </c>
      <c r="AF1" t="s">
        <v>1947</v>
      </c>
      <c r="AG1" t="s">
        <v>1948</v>
      </c>
      <c r="AH1" t="s">
        <v>1949</v>
      </c>
      <c r="AI1" t="s">
        <v>1950</v>
      </c>
      <c r="AJ1" t="s">
        <v>1951</v>
      </c>
      <c r="AK1" t="s">
        <v>1952</v>
      </c>
      <c r="AL1" t="s">
        <v>1953</v>
      </c>
      <c r="AM1" t="s">
        <v>1954</v>
      </c>
      <c r="AN1" t="s">
        <v>1955</v>
      </c>
      <c r="AO1" t="s">
        <v>1956</v>
      </c>
      <c r="AP1" t="s">
        <v>1957</v>
      </c>
      <c r="AQ1" t="s">
        <v>1958</v>
      </c>
      <c r="AR1" t="s">
        <v>1959</v>
      </c>
      <c r="AS1" t="s">
        <v>1960</v>
      </c>
      <c r="AT1" t="s">
        <v>1961</v>
      </c>
      <c r="AU1" t="s">
        <v>1962</v>
      </c>
      <c r="AV1" t="s">
        <v>1963</v>
      </c>
      <c r="AW1" t="s">
        <v>1964</v>
      </c>
      <c r="AX1" t="s">
        <v>1965</v>
      </c>
      <c r="AY1" t="s">
        <v>1966</v>
      </c>
      <c r="AZ1" t="s">
        <v>1967</v>
      </c>
    </row>
    <row r="2" spans="1:5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Q9b_A_Priority1_Select</f>
        <v>0</v>
      </c>
      <c r="R2">
        <f>Q9b_A_Priority1_Explain</f>
        <v>0</v>
      </c>
      <c r="S2">
        <f>Q9b_A_Priority2_Select</f>
        <v>0</v>
      </c>
      <c r="T2">
        <f>Q9b_A_Priority2_Explain</f>
        <v>0</v>
      </c>
      <c r="U2">
        <f>Q9b_A_Priority3_Select</f>
        <v>0</v>
      </c>
      <c r="V2">
        <f>Q9b_A_Priority3_Explain</f>
        <v>0</v>
      </c>
      <c r="W2">
        <f>Q9b_A_Priority4_Select</f>
        <v>0</v>
      </c>
      <c r="X2">
        <f>Q9b_A_Priority4_Explain</f>
        <v>0</v>
      </c>
      <c r="Y2">
        <f>Q9b_A_Priority5_Select</f>
        <v>0</v>
      </c>
      <c r="Z2">
        <f>Q9b_A_Priority5_Explain</f>
        <v>0</v>
      </c>
      <c r="AA2">
        <f>Q9b_B_CompAdv_YN</f>
        <v>0</v>
      </c>
      <c r="AB2">
        <f>Q9b_B_CompAdv_Explain</f>
        <v>0</v>
      </c>
      <c r="AC2">
        <f>Q9b_B_Requirements_YN</f>
        <v>0</v>
      </c>
      <c r="AD2">
        <f>Q9b_B_Requirements_Explain</f>
        <v>0</v>
      </c>
      <c r="AE2">
        <f>Q9b_B_Industry_YN</f>
        <v>0</v>
      </c>
      <c r="AF2">
        <f>Q9b_B_Industry_Explain</f>
        <v>0</v>
      </c>
      <c r="AG2" t="str">
        <f>Q9b_B_Other1_Specify</f>
        <v>(specify here)</v>
      </c>
      <c r="AH2">
        <f>Q9b_B_Other1_YN</f>
        <v>0</v>
      </c>
      <c r="AI2">
        <f>Q9b_B_Other1_Explain</f>
        <v>0</v>
      </c>
      <c r="AJ2" t="str">
        <f>Q9b_B_Other2_Specify</f>
        <v>(specify here)</v>
      </c>
      <c r="AK2">
        <f>Q9b_B_Other2_YN</f>
        <v>0</v>
      </c>
      <c r="AL2">
        <f>Q9b_B_Other2_Explain</f>
        <v>0</v>
      </c>
      <c r="AM2" t="str">
        <f>Q9b_B_Other3_Specify</f>
        <v>(specify here)</v>
      </c>
      <c r="AN2">
        <f>Q9b_B_Other3_YN</f>
        <v>0</v>
      </c>
      <c r="AO2">
        <f>Q9b_B_Other3_Explain</f>
        <v>0</v>
      </c>
      <c r="AP2">
        <f>Q9b_C_USGImpact_YN</f>
        <v>0</v>
      </c>
      <c r="AQ2">
        <f>Q9b_C_USGImpact_Explain</f>
        <v>0</v>
      </c>
      <c r="AR2">
        <f>Q9b_D_DODHelp_YN</f>
        <v>0</v>
      </c>
      <c r="AS2">
        <f>Q9b_D_DODHelp_Explain</f>
        <v>0</v>
      </c>
      <c r="AT2">
        <f>Q9b_D_DODFocus1_Select</f>
        <v>0</v>
      </c>
      <c r="AU2">
        <f>Q9b_D_DODFocus1_Explain</f>
        <v>0</v>
      </c>
      <c r="AV2">
        <f>Q9b_D_DODFocus2_Select</f>
        <v>0</v>
      </c>
      <c r="AW2">
        <f>Q9b_D_DODFocus2_Explain</f>
        <v>0</v>
      </c>
      <c r="AX2">
        <f>Q9b_D_DODFocus3_Select</f>
        <v>0</v>
      </c>
      <c r="AY2">
        <f>Q9b_D_DODFocus3_Explain</f>
        <v>0</v>
      </c>
      <c r="AZ2">
        <f>Q9b_Comment</f>
        <v>0</v>
      </c>
    </row>
    <row r="16" spans="1:52">
      <c r="AA16" s="588"/>
    </row>
    <row r="17" spans="27:27">
      <c r="AA17" s="588"/>
    </row>
    <row r="18" spans="27:27">
      <c r="AA18" s="588"/>
    </row>
    <row r="19" spans="27:27">
      <c r="AA19" s="588"/>
    </row>
    <row r="20" spans="27:27">
      <c r="AA20" s="588"/>
    </row>
    <row r="21" spans="27:27">
      <c r="AA21" s="588"/>
    </row>
    <row r="22" spans="27:27">
      <c r="AA22" s="588"/>
    </row>
    <row r="23" spans="27:27">
      <c r="AA23" s="588"/>
    </row>
    <row r="24" spans="27:27">
      <c r="AA24" s="588"/>
    </row>
    <row r="25" spans="27:27">
      <c r="AA25" s="588"/>
    </row>
    <row r="26" spans="27:27">
      <c r="AA26" s="588"/>
    </row>
    <row r="27" spans="27:27">
      <c r="AA27" s="588"/>
    </row>
    <row r="28" spans="27:27">
      <c r="AA28" s="588"/>
    </row>
    <row r="29" spans="27:27">
      <c r="AA29" s="588"/>
    </row>
    <row r="30" spans="27:27">
      <c r="AA30" s="588"/>
    </row>
    <row r="31" spans="27:27">
      <c r="AA31" s="588"/>
    </row>
    <row r="32" spans="27:27">
      <c r="AA32" s="588"/>
    </row>
    <row r="33" spans="27:27">
      <c r="AA33" s="588"/>
    </row>
    <row r="34" spans="27:27">
      <c r="AA34" s="588"/>
    </row>
    <row r="35" spans="27:27">
      <c r="AA35" s="588"/>
    </row>
    <row r="36" spans="27:27">
      <c r="AA36" s="588"/>
    </row>
    <row r="37" spans="27:27">
      <c r="AA37" s="588"/>
    </row>
    <row r="38" spans="27:27">
      <c r="AA38" s="588"/>
    </row>
    <row r="39" spans="27:27">
      <c r="AA39" s="588"/>
    </row>
    <row r="40" spans="27:27">
      <c r="AA40" s="588"/>
    </row>
    <row r="41" spans="27:27">
      <c r="AA41" s="588"/>
    </row>
    <row r="42" spans="27:27">
      <c r="AA42" s="588"/>
    </row>
    <row r="43" spans="27:27">
      <c r="AA43" s="588"/>
    </row>
    <row r="44" spans="27:27">
      <c r="AA44" s="588"/>
    </row>
    <row r="45" spans="27:27">
      <c r="AA45" s="588"/>
    </row>
    <row r="46" spans="27:27">
      <c r="AA46" s="588"/>
    </row>
    <row r="47" spans="27:27">
      <c r="AA47" s="588"/>
    </row>
    <row r="48" spans="27:27">
      <c r="AA48" s="588"/>
    </row>
    <row r="49" spans="27:27">
      <c r="AA49" s="588"/>
    </row>
    <row r="50" spans="27:27">
      <c r="AA50" s="588"/>
    </row>
    <row r="51" spans="27:27">
      <c r="AA51" s="588"/>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zoomScale="85" zoomScaleNormal="85" workbookViewId="0">
      <selection activeCell="A2" sqref="A2:P2"/>
    </sheetView>
  </sheetViews>
  <sheetFormatPr defaultRowHeight="15"/>
  <cols>
    <col min="22" max="22" width="9.140625" style="623"/>
  </cols>
  <sheetData>
    <row r="1" spans="1:3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1820</v>
      </c>
      <c r="R1" t="s">
        <v>1821</v>
      </c>
      <c r="S1" t="s">
        <v>1838</v>
      </c>
      <c r="T1" t="s">
        <v>98</v>
      </c>
      <c r="U1" t="s">
        <v>1824</v>
      </c>
      <c r="V1" s="623" t="s">
        <v>1825</v>
      </c>
      <c r="W1" t="s">
        <v>1789</v>
      </c>
      <c r="X1" t="s">
        <v>1975</v>
      </c>
      <c r="Y1" t="s">
        <v>1976</v>
      </c>
      <c r="Z1" t="s">
        <v>1977</v>
      </c>
      <c r="AA1" t="s">
        <v>1789</v>
      </c>
      <c r="AB1" s="588" t="s">
        <v>1968</v>
      </c>
      <c r="AC1" s="588" t="s">
        <v>1969</v>
      </c>
    </row>
    <row r="2" spans="1:3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29" si="0">Q10_Schedule</f>
        <v>0</v>
      </c>
      <c r="R2">
        <f t="shared" ref="R2:R29" si="1">Q10_Source</f>
        <v>0</v>
      </c>
      <c r="S2" t="s">
        <v>1921</v>
      </c>
      <c r="T2">
        <v>2012</v>
      </c>
      <c r="U2" s="588">
        <f>Q10_A_CapExTotal_2012</f>
        <v>0</v>
      </c>
      <c r="W2" t="s">
        <v>1789</v>
      </c>
      <c r="X2">
        <v>1</v>
      </c>
      <c r="Y2" s="588">
        <f>Q10_C_Priority1_Select</f>
        <v>0</v>
      </c>
      <c r="Z2" s="588">
        <f>Q10_C_Priority1_Explain</f>
        <v>0</v>
      </c>
      <c r="AA2" t="s">
        <v>1789</v>
      </c>
      <c r="AB2" s="588">
        <f>Q10_B_USGImpact_YN</f>
        <v>0</v>
      </c>
      <c r="AC2" s="588">
        <f>Q10_B_USGImpact_Explain</f>
        <v>0</v>
      </c>
    </row>
    <row r="3" spans="1:32">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t="s">
        <v>1971</v>
      </c>
      <c r="T3">
        <v>2012</v>
      </c>
      <c r="U3" s="597">
        <f>U2*V3</f>
        <v>0</v>
      </c>
      <c r="V3" s="623">
        <f>Q10_A_CapExMachPct_2012</f>
        <v>0</v>
      </c>
      <c r="W3" t="s">
        <v>1789</v>
      </c>
      <c r="X3">
        <v>2</v>
      </c>
      <c r="Y3" s="588">
        <f>Q10_C_Priority2_Select</f>
        <v>0</v>
      </c>
      <c r="Z3" s="588">
        <f>Q10_C_Priority2_Explain</f>
        <v>0</v>
      </c>
      <c r="AA3" t="s">
        <v>1789</v>
      </c>
      <c r="AB3" t="s">
        <v>1789</v>
      </c>
      <c r="AC3" t="s">
        <v>1789</v>
      </c>
    </row>
    <row r="4" spans="1:32">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t="s">
        <v>1972</v>
      </c>
      <c r="T4">
        <v>2012</v>
      </c>
      <c r="U4" s="597">
        <f>U2*V4</f>
        <v>0</v>
      </c>
      <c r="V4" s="623">
        <f>Q10_A_CapExITPct_2012</f>
        <v>0</v>
      </c>
      <c r="W4" t="s">
        <v>1789</v>
      </c>
      <c r="X4">
        <v>3</v>
      </c>
      <c r="Y4" s="588">
        <f>Q10_C_Priority3_Select</f>
        <v>0</v>
      </c>
      <c r="Z4" s="588">
        <f>Q10_C_Priority3_Explain</f>
        <v>0</v>
      </c>
      <c r="AA4" t="s">
        <v>1789</v>
      </c>
      <c r="AB4" t="s">
        <v>1789</v>
      </c>
      <c r="AC4" t="s">
        <v>1789</v>
      </c>
    </row>
    <row r="5" spans="1:32">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t="s">
        <v>1973</v>
      </c>
      <c r="T5">
        <v>2012</v>
      </c>
      <c r="U5" s="597">
        <f>U2*V5</f>
        <v>0</v>
      </c>
      <c r="V5" s="623">
        <f>Q10_A_CapExLandPct_2012</f>
        <v>0</v>
      </c>
      <c r="W5" t="s">
        <v>1789</v>
      </c>
      <c r="X5">
        <v>4</v>
      </c>
      <c r="Y5" s="588">
        <f>Q10_C_Priority4_Select</f>
        <v>0</v>
      </c>
      <c r="Z5" s="588">
        <f>Q10_C_Priority4_Explain</f>
        <v>0</v>
      </c>
      <c r="AA5" t="s">
        <v>1789</v>
      </c>
      <c r="AB5" t="s">
        <v>1789</v>
      </c>
      <c r="AC5" t="s">
        <v>1789</v>
      </c>
    </row>
    <row r="6" spans="1:32">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f>Q10_A_CapExOther1_Specify</f>
        <v>0</v>
      </c>
      <c r="T6">
        <v>2012</v>
      </c>
      <c r="U6" s="597">
        <f>U2*V6</f>
        <v>0</v>
      </c>
      <c r="V6" s="623">
        <f>Q10_A_CapExOther1Pct_2012</f>
        <v>0</v>
      </c>
      <c r="W6" t="s">
        <v>1789</v>
      </c>
      <c r="X6">
        <v>5</v>
      </c>
      <c r="Y6" s="588">
        <f>Q10_C_Priority5_Select</f>
        <v>0</v>
      </c>
      <c r="Z6" s="588">
        <f>Q10_C_Priority5_Explain</f>
        <v>0</v>
      </c>
      <c r="AA6" t="s">
        <v>1789</v>
      </c>
      <c r="AB6" t="s">
        <v>1789</v>
      </c>
      <c r="AC6" t="s">
        <v>1789</v>
      </c>
      <c r="AF6" s="588"/>
    </row>
    <row r="7" spans="1:32">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f>Q10_A_CapExOther2_Specify</f>
        <v>0</v>
      </c>
      <c r="T7">
        <v>2012</v>
      </c>
      <c r="U7" s="597">
        <f>U2*V7</f>
        <v>0</v>
      </c>
      <c r="V7" s="623">
        <f>Q10_A_CapExOther2Pct_2012</f>
        <v>0</v>
      </c>
      <c r="W7" t="s">
        <v>1789</v>
      </c>
      <c r="X7" t="s">
        <v>1789</v>
      </c>
      <c r="Y7" s="588" t="s">
        <v>1789</v>
      </c>
      <c r="Z7" t="s">
        <v>1789</v>
      </c>
      <c r="AA7" t="s">
        <v>1789</v>
      </c>
      <c r="AB7" t="s">
        <v>1789</v>
      </c>
      <c r="AC7" t="s">
        <v>1789</v>
      </c>
      <c r="AF7" s="588"/>
    </row>
    <row r="8" spans="1:32">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t="s">
        <v>1974</v>
      </c>
      <c r="T8">
        <v>2012</v>
      </c>
      <c r="U8" s="597">
        <f>U2*V8</f>
        <v>0</v>
      </c>
      <c r="V8" s="623">
        <f>Q10_A_CapExBarePct_2012</f>
        <v>0</v>
      </c>
      <c r="W8" t="s">
        <v>1789</v>
      </c>
      <c r="X8" t="s">
        <v>1789</v>
      </c>
      <c r="Y8" s="588" t="s">
        <v>1789</v>
      </c>
      <c r="Z8" t="s">
        <v>1789</v>
      </c>
      <c r="AA8" t="s">
        <v>1789</v>
      </c>
      <c r="AB8" t="s">
        <v>1789</v>
      </c>
      <c r="AC8" t="s">
        <v>1789</v>
      </c>
    </row>
    <row r="9" spans="1:32">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t="s">
        <v>1921</v>
      </c>
      <c r="T9">
        <v>2013</v>
      </c>
      <c r="U9" s="588">
        <f>Q10_A_CapExTotal_2013</f>
        <v>0</v>
      </c>
      <c r="X9" t="s">
        <v>1789</v>
      </c>
      <c r="Y9" s="588" t="s">
        <v>1789</v>
      </c>
      <c r="Z9" t="s">
        <v>1789</v>
      </c>
      <c r="AA9" t="s">
        <v>1789</v>
      </c>
      <c r="AB9" t="s">
        <v>1789</v>
      </c>
      <c r="AC9" t="s">
        <v>1789</v>
      </c>
      <c r="AF9" s="588"/>
    </row>
    <row r="10" spans="1:32">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t="s">
        <v>1971</v>
      </c>
      <c r="T10">
        <v>2013</v>
      </c>
      <c r="U10" s="597">
        <f>U9*V10</f>
        <v>0</v>
      </c>
      <c r="V10" s="623">
        <f>Q10_A_CapExMachPct_2013</f>
        <v>0</v>
      </c>
      <c r="X10" t="s">
        <v>1789</v>
      </c>
      <c r="Y10" s="588" t="s">
        <v>1789</v>
      </c>
      <c r="Z10" t="s">
        <v>1789</v>
      </c>
      <c r="AA10" t="s">
        <v>1789</v>
      </c>
      <c r="AB10" t="s">
        <v>1789</v>
      </c>
      <c r="AC10" t="s">
        <v>1789</v>
      </c>
      <c r="AF10" s="588"/>
    </row>
    <row r="11" spans="1:32">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t="s">
        <v>1972</v>
      </c>
      <c r="T11">
        <v>2013</v>
      </c>
      <c r="U11" s="597">
        <f>U9*V11</f>
        <v>0</v>
      </c>
      <c r="V11" s="623">
        <f>Q10_A_CapExITPct_2013</f>
        <v>0</v>
      </c>
      <c r="X11" t="s">
        <v>1789</v>
      </c>
      <c r="Y11" s="588" t="s">
        <v>1789</v>
      </c>
      <c r="Z11" t="s">
        <v>1789</v>
      </c>
      <c r="AA11" t="s">
        <v>1789</v>
      </c>
      <c r="AB11" t="s">
        <v>1789</v>
      </c>
      <c r="AC11" t="s">
        <v>1789</v>
      </c>
      <c r="AF11" s="588"/>
    </row>
    <row r="12" spans="1:32">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t="s">
        <v>1973</v>
      </c>
      <c r="T12">
        <v>2013</v>
      </c>
      <c r="U12" s="597">
        <f>U9*V12</f>
        <v>0</v>
      </c>
      <c r="V12" s="623">
        <f>Q10_A_CapExLandPct_2013</f>
        <v>0</v>
      </c>
      <c r="X12" t="s">
        <v>1789</v>
      </c>
      <c r="Y12" s="588" t="s">
        <v>1789</v>
      </c>
      <c r="Z12" t="s">
        <v>1789</v>
      </c>
      <c r="AA12" t="s">
        <v>1789</v>
      </c>
      <c r="AB12" t="s">
        <v>1789</v>
      </c>
      <c r="AC12" t="s">
        <v>1789</v>
      </c>
    </row>
    <row r="13" spans="1:32">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f>Q10_A_CapExOther1_Specify</f>
        <v>0</v>
      </c>
      <c r="T13">
        <v>2013</v>
      </c>
      <c r="U13" s="597">
        <f>U9*V13</f>
        <v>0</v>
      </c>
      <c r="V13" s="623">
        <f>Q10_A_CapExOther1Pct_2013</f>
        <v>0</v>
      </c>
      <c r="X13" t="s">
        <v>1789</v>
      </c>
      <c r="Y13" s="588" t="s">
        <v>1789</v>
      </c>
      <c r="Z13" t="s">
        <v>1789</v>
      </c>
      <c r="AA13" t="s">
        <v>1789</v>
      </c>
      <c r="AB13" t="s">
        <v>1789</v>
      </c>
      <c r="AC13" t="s">
        <v>1789</v>
      </c>
      <c r="AF13" s="588"/>
    </row>
    <row r="14" spans="1:32">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f>Q10_A_CapExOther2_Specify</f>
        <v>0</v>
      </c>
      <c r="T14">
        <v>2013</v>
      </c>
      <c r="U14" s="597">
        <f>U9*V14</f>
        <v>0</v>
      </c>
      <c r="V14" s="623">
        <f>Q10_A_CapExOther2Pct_2013</f>
        <v>0</v>
      </c>
      <c r="X14" t="s">
        <v>1789</v>
      </c>
      <c r="Y14" s="588" t="s">
        <v>1789</v>
      </c>
      <c r="Z14" t="s">
        <v>1789</v>
      </c>
      <c r="AA14" t="s">
        <v>1789</v>
      </c>
      <c r="AB14" t="s">
        <v>1789</v>
      </c>
      <c r="AC14" t="s">
        <v>1789</v>
      </c>
      <c r="AF14" s="588"/>
    </row>
    <row r="15" spans="1:32">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t="s">
        <v>1974</v>
      </c>
      <c r="T15">
        <v>2013</v>
      </c>
      <c r="U15" s="597">
        <f>U9*V15</f>
        <v>0</v>
      </c>
      <c r="V15" s="623">
        <f>Q10_A_CapExBarePct_2013</f>
        <v>0</v>
      </c>
      <c r="X15" t="s">
        <v>1789</v>
      </c>
      <c r="Y15" s="588" t="s">
        <v>1789</v>
      </c>
      <c r="Z15" t="s">
        <v>1789</v>
      </c>
      <c r="AA15" t="s">
        <v>1789</v>
      </c>
      <c r="AB15" t="s">
        <v>1789</v>
      </c>
      <c r="AC15" t="s">
        <v>1789</v>
      </c>
      <c r="AF15" s="588"/>
    </row>
    <row r="16" spans="1:32">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t="s">
        <v>1921</v>
      </c>
      <c r="T16">
        <v>2014</v>
      </c>
      <c r="U16" s="588">
        <f>Q10_A_CapExTotal_2014</f>
        <v>0</v>
      </c>
      <c r="X16" t="s">
        <v>1789</v>
      </c>
      <c r="Y16" s="588" t="s">
        <v>1789</v>
      </c>
      <c r="Z16" t="s">
        <v>1789</v>
      </c>
      <c r="AA16" t="s">
        <v>1789</v>
      </c>
      <c r="AB16" t="s">
        <v>1789</v>
      </c>
      <c r="AC16" t="s">
        <v>1789</v>
      </c>
    </row>
    <row r="17" spans="1:32">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t="s">
        <v>1971</v>
      </c>
      <c r="T17">
        <v>2014</v>
      </c>
      <c r="U17" s="597">
        <f>U16*V17</f>
        <v>0</v>
      </c>
      <c r="V17" s="623">
        <f>Q10_A_CapExMachPct_2014</f>
        <v>0</v>
      </c>
      <c r="X17" t="s">
        <v>1789</v>
      </c>
      <c r="Y17" s="588" t="s">
        <v>1789</v>
      </c>
      <c r="Z17" t="s">
        <v>1789</v>
      </c>
      <c r="AA17" t="s">
        <v>1789</v>
      </c>
      <c r="AB17" t="s">
        <v>1789</v>
      </c>
      <c r="AC17" t="s">
        <v>1789</v>
      </c>
      <c r="AF17" s="588"/>
    </row>
    <row r="18" spans="1:32">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t="s">
        <v>1972</v>
      </c>
      <c r="T18">
        <v>2014</v>
      </c>
      <c r="U18" s="597">
        <f>U16*V18</f>
        <v>0</v>
      </c>
      <c r="V18" s="623">
        <f>Q10_A_CapExITPct_2014</f>
        <v>0</v>
      </c>
      <c r="X18" t="s">
        <v>1789</v>
      </c>
      <c r="Y18" s="588" t="s">
        <v>1789</v>
      </c>
      <c r="Z18" t="s">
        <v>1789</v>
      </c>
      <c r="AA18" t="s">
        <v>1789</v>
      </c>
      <c r="AB18" t="s">
        <v>1789</v>
      </c>
      <c r="AC18" t="s">
        <v>1789</v>
      </c>
      <c r="AF18" s="588"/>
    </row>
    <row r="19" spans="1:32">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t="s">
        <v>1973</v>
      </c>
      <c r="T19">
        <v>2014</v>
      </c>
      <c r="U19" s="597">
        <f>U16*V19</f>
        <v>0</v>
      </c>
      <c r="V19" s="623">
        <f>Q10_A_CapExLandPct_2014</f>
        <v>0</v>
      </c>
      <c r="X19" t="s">
        <v>1789</v>
      </c>
      <c r="Y19" s="588" t="s">
        <v>1789</v>
      </c>
      <c r="Z19" t="s">
        <v>1789</v>
      </c>
      <c r="AA19" t="s">
        <v>1789</v>
      </c>
      <c r="AB19" t="s">
        <v>1789</v>
      </c>
      <c r="AC19" t="s">
        <v>1789</v>
      </c>
      <c r="AF19" s="588"/>
    </row>
    <row r="20" spans="1:32">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f>Q10_A_CapExOther1_Specify</f>
        <v>0</v>
      </c>
      <c r="T20">
        <v>2014</v>
      </c>
      <c r="U20" s="597">
        <f>U16*V20</f>
        <v>0</v>
      </c>
      <c r="V20" s="623">
        <f>Q10_A_CapExOther1Pct_2014</f>
        <v>0</v>
      </c>
      <c r="X20" t="s">
        <v>1789</v>
      </c>
      <c r="Y20" s="588" t="s">
        <v>1789</v>
      </c>
      <c r="Z20" t="s">
        <v>1789</v>
      </c>
      <c r="AA20" t="s">
        <v>1789</v>
      </c>
      <c r="AB20" t="s">
        <v>1789</v>
      </c>
      <c r="AC20" t="s">
        <v>1789</v>
      </c>
    </row>
    <row r="21" spans="1:32">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f>Q10_A_CapExOther2_Specify</f>
        <v>0</v>
      </c>
      <c r="T21">
        <v>2014</v>
      </c>
      <c r="U21" s="597">
        <f>U16*V21</f>
        <v>0</v>
      </c>
      <c r="V21" s="623">
        <f>Q10_A_CapExOther2Pct_2014</f>
        <v>0</v>
      </c>
      <c r="X21" t="s">
        <v>1789</v>
      </c>
      <c r="Y21" s="588" t="s">
        <v>1789</v>
      </c>
      <c r="Z21" t="s">
        <v>1789</v>
      </c>
      <c r="AA21" t="s">
        <v>1789</v>
      </c>
      <c r="AB21" t="s">
        <v>1789</v>
      </c>
      <c r="AC21" t="s">
        <v>1789</v>
      </c>
      <c r="AF21" s="588"/>
    </row>
    <row r="22" spans="1:32">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si="0"/>
        <v>0</v>
      </c>
      <c r="R22">
        <f t="shared" si="1"/>
        <v>0</v>
      </c>
      <c r="S22" t="s">
        <v>1974</v>
      </c>
      <c r="T22">
        <v>2014</v>
      </c>
      <c r="U22" s="597">
        <f>U16*V22</f>
        <v>0</v>
      </c>
      <c r="V22" s="623">
        <f>Q10_A_CapExBarePct_2014</f>
        <v>0</v>
      </c>
      <c r="X22" t="s">
        <v>1789</v>
      </c>
      <c r="Y22" s="588" t="s">
        <v>1789</v>
      </c>
      <c r="Z22" t="s">
        <v>1789</v>
      </c>
      <c r="AA22" t="s">
        <v>1789</v>
      </c>
      <c r="AB22" t="s">
        <v>1789</v>
      </c>
      <c r="AC22" t="s">
        <v>1789</v>
      </c>
      <c r="AF22" s="588"/>
    </row>
    <row r="23" spans="1:32">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0"/>
        <v>0</v>
      </c>
      <c r="R23">
        <f t="shared" si="1"/>
        <v>0</v>
      </c>
      <c r="S23" t="s">
        <v>1921</v>
      </c>
      <c r="T23">
        <v>2015</v>
      </c>
      <c r="U23" s="588">
        <f>Q10_A_CapExTotal_2015</f>
        <v>0</v>
      </c>
      <c r="X23" t="s">
        <v>1789</v>
      </c>
      <c r="Y23" s="588" t="s">
        <v>1789</v>
      </c>
      <c r="Z23" t="s">
        <v>1789</v>
      </c>
      <c r="AA23" t="s">
        <v>1789</v>
      </c>
      <c r="AB23" t="s">
        <v>1789</v>
      </c>
      <c r="AC23" t="s">
        <v>1789</v>
      </c>
      <c r="AF23" s="588"/>
    </row>
    <row r="24" spans="1:32">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0"/>
        <v>0</v>
      </c>
      <c r="R24">
        <f t="shared" si="1"/>
        <v>0</v>
      </c>
      <c r="S24" t="s">
        <v>1971</v>
      </c>
      <c r="T24">
        <v>2015</v>
      </c>
      <c r="U24" s="597">
        <f>U23*V24</f>
        <v>0</v>
      </c>
      <c r="V24" s="623">
        <f>Q10_A_CapExMachPct_2015</f>
        <v>0</v>
      </c>
      <c r="X24" t="s">
        <v>1789</v>
      </c>
      <c r="Y24" s="588" t="s">
        <v>1789</v>
      </c>
      <c r="Z24" t="s">
        <v>1789</v>
      </c>
      <c r="AA24" t="s">
        <v>1789</v>
      </c>
      <c r="AB24" t="s">
        <v>1789</v>
      </c>
      <c r="AC24" t="s">
        <v>1789</v>
      </c>
      <c r="AF24" s="588"/>
    </row>
    <row r="25" spans="1:32">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0"/>
        <v>0</v>
      </c>
      <c r="R25">
        <f t="shared" si="1"/>
        <v>0</v>
      </c>
      <c r="S25" t="s">
        <v>1972</v>
      </c>
      <c r="T25">
        <v>2015</v>
      </c>
      <c r="U25" s="597">
        <f>U23*V25</f>
        <v>0</v>
      </c>
      <c r="V25" s="623">
        <f>Q10_A_CapExITPct_2015</f>
        <v>0</v>
      </c>
      <c r="X25" t="s">
        <v>1789</v>
      </c>
      <c r="Y25" s="588" t="s">
        <v>1789</v>
      </c>
      <c r="Z25" t="s">
        <v>1789</v>
      </c>
      <c r="AA25" t="s">
        <v>1789</v>
      </c>
      <c r="AB25" t="s">
        <v>1789</v>
      </c>
      <c r="AC25" t="s">
        <v>1789</v>
      </c>
    </row>
    <row r="26" spans="1:32">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0"/>
        <v>0</v>
      </c>
      <c r="R26">
        <f t="shared" si="1"/>
        <v>0</v>
      </c>
      <c r="S26" t="s">
        <v>1973</v>
      </c>
      <c r="T26">
        <v>2015</v>
      </c>
      <c r="U26" s="597">
        <f>U23*V26</f>
        <v>0</v>
      </c>
      <c r="V26" s="623">
        <f>Q10_A_CapExLandPct_2015</f>
        <v>0</v>
      </c>
      <c r="X26" t="s">
        <v>1789</v>
      </c>
      <c r="Y26" s="588" t="s">
        <v>1789</v>
      </c>
      <c r="Z26" t="s">
        <v>1789</v>
      </c>
      <c r="AA26" t="s">
        <v>1789</v>
      </c>
      <c r="AB26" t="s">
        <v>1789</v>
      </c>
      <c r="AC26" t="s">
        <v>1789</v>
      </c>
      <c r="AF26" s="588"/>
    </row>
    <row r="27" spans="1:32">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0"/>
        <v>0</v>
      </c>
      <c r="R27">
        <f t="shared" si="1"/>
        <v>0</v>
      </c>
      <c r="S27">
        <f>Q10_A_CapExOther1_Specify</f>
        <v>0</v>
      </c>
      <c r="T27">
        <v>2015</v>
      </c>
      <c r="U27" s="597">
        <f>U23*V27</f>
        <v>0</v>
      </c>
      <c r="V27" s="623">
        <f>Q10_A_CapExOther1Pct_2015</f>
        <v>0</v>
      </c>
      <c r="X27" t="s">
        <v>1789</v>
      </c>
      <c r="Y27" s="588" t="s">
        <v>1789</v>
      </c>
      <c r="Z27" t="s">
        <v>1789</v>
      </c>
      <c r="AA27" t="s">
        <v>1789</v>
      </c>
      <c r="AB27" t="s">
        <v>1789</v>
      </c>
      <c r="AC27" t="s">
        <v>1789</v>
      </c>
      <c r="AF27" s="588"/>
    </row>
    <row r="28" spans="1:32">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0"/>
        <v>0</v>
      </c>
      <c r="R28">
        <f t="shared" si="1"/>
        <v>0</v>
      </c>
      <c r="S28">
        <f>Q10_A_CapExOther2_Specify</f>
        <v>0</v>
      </c>
      <c r="T28">
        <v>2015</v>
      </c>
      <c r="U28" s="597">
        <f>U23*V28</f>
        <v>0</v>
      </c>
      <c r="V28" s="623">
        <f>Q10_A_CapExOther2Pct_2015</f>
        <v>0</v>
      </c>
      <c r="X28" t="s">
        <v>1789</v>
      </c>
      <c r="Y28" s="588" t="s">
        <v>1789</v>
      </c>
      <c r="Z28" t="s">
        <v>1789</v>
      </c>
      <c r="AA28" t="s">
        <v>1789</v>
      </c>
      <c r="AB28" t="s">
        <v>1789</v>
      </c>
      <c r="AC28" t="s">
        <v>1789</v>
      </c>
      <c r="AF28" s="588"/>
    </row>
    <row r="29" spans="1:32">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0"/>
        <v>0</v>
      </c>
      <c r="R29">
        <f t="shared" si="1"/>
        <v>0</v>
      </c>
      <c r="S29" t="s">
        <v>1974</v>
      </c>
      <c r="T29">
        <v>2015</v>
      </c>
      <c r="U29" s="597">
        <f>U23*V29</f>
        <v>0</v>
      </c>
      <c r="V29" s="623">
        <f>Q10_A_CapExBarePct_2015</f>
        <v>0</v>
      </c>
      <c r="X29" t="s">
        <v>1789</v>
      </c>
      <c r="Y29" s="588" t="s">
        <v>1789</v>
      </c>
      <c r="Z29" t="s">
        <v>1789</v>
      </c>
      <c r="AA29" t="s">
        <v>1789</v>
      </c>
      <c r="AB29" t="s">
        <v>1789</v>
      </c>
      <c r="AC29" t="s">
        <v>1789</v>
      </c>
      <c r="AF29" s="588"/>
    </row>
    <row r="31" spans="1:32">
      <c r="AF31" s="588"/>
    </row>
    <row r="32" spans="1:32">
      <c r="AF32" s="588"/>
    </row>
    <row r="33" spans="32:32">
      <c r="AF33" s="588"/>
    </row>
    <row r="35" spans="32:32">
      <c r="AF35" s="588"/>
    </row>
    <row r="36" spans="32:32">
      <c r="AF36" s="588"/>
    </row>
    <row r="37" spans="32:32">
      <c r="AF37" s="588"/>
    </row>
    <row r="38" spans="32:32">
      <c r="AF38" s="588"/>
    </row>
    <row r="39" spans="32:32">
      <c r="AF39" s="588"/>
    </row>
    <row r="50" spans="32:32">
      <c r="AF50" s="588" t="s">
        <v>1970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showRowColHeaders="0" zoomScaleNormal="100" workbookViewId="0"/>
  </sheetViews>
  <sheetFormatPr defaultColWidth="8.85546875" defaultRowHeight="12.75"/>
  <cols>
    <col min="1" max="1" width="8.5703125" style="12" customWidth="1"/>
    <col min="2" max="2" width="3.85546875" style="12" customWidth="1"/>
    <col min="3" max="3" width="7.85546875" style="12" customWidth="1"/>
    <col min="4" max="4" width="11.140625" style="12" customWidth="1"/>
    <col min="5" max="5" width="14.85546875" style="12" customWidth="1"/>
    <col min="6" max="6" width="21.140625" style="12" customWidth="1"/>
    <col min="7" max="7" width="16.7109375" style="12" bestFit="1" customWidth="1"/>
    <col min="8" max="8" width="17.140625" style="12" customWidth="1"/>
    <col min="9" max="9" width="16.140625" style="12" customWidth="1"/>
    <col min="10" max="10" width="17.140625" style="12" customWidth="1"/>
    <col min="11" max="11" width="16.85546875" style="12" customWidth="1"/>
    <col min="12" max="16384" width="8.85546875" style="12"/>
  </cols>
  <sheetData>
    <row r="1" spans="1:11" ht="13.5" customHeight="1" thickBot="1">
      <c r="A1" s="45"/>
      <c r="B1" s="45"/>
      <c r="C1" s="45"/>
      <c r="D1" s="45"/>
      <c r="E1" s="45"/>
      <c r="F1" s="45"/>
      <c r="G1" s="45"/>
      <c r="H1" s="45"/>
      <c r="I1" s="45"/>
      <c r="J1" s="45"/>
      <c r="K1" s="45"/>
    </row>
    <row r="2" spans="1:11" ht="13.5" customHeight="1" thickBot="1">
      <c r="A2" s="45"/>
      <c r="B2" s="655" t="s">
        <v>487</v>
      </c>
      <c r="C2" s="656"/>
      <c r="D2" s="656"/>
      <c r="E2" s="183"/>
      <c r="F2" s="657" t="s">
        <v>1204</v>
      </c>
      <c r="G2" s="657"/>
      <c r="H2" s="657"/>
      <c r="I2" s="183"/>
      <c r="J2" s="183"/>
      <c r="K2" s="113" t="s">
        <v>486</v>
      </c>
    </row>
    <row r="3" spans="1:11" ht="13.5" customHeight="1" thickBot="1">
      <c r="A3" s="45"/>
      <c r="B3" s="806" t="s">
        <v>910</v>
      </c>
      <c r="C3" s="807"/>
      <c r="D3" s="807"/>
      <c r="E3" s="807"/>
      <c r="F3" s="807"/>
      <c r="G3" s="807"/>
      <c r="H3" s="807"/>
      <c r="I3" s="807"/>
      <c r="J3" s="807"/>
      <c r="K3" s="808"/>
    </row>
    <row r="4" spans="1:11" ht="22.5" customHeight="1">
      <c r="A4" s="45"/>
      <c r="B4" s="781" t="s">
        <v>5</v>
      </c>
      <c r="C4" s="798" t="s">
        <v>1194</v>
      </c>
      <c r="D4" s="798"/>
      <c r="E4" s="798"/>
      <c r="F4" s="798"/>
      <c r="G4" s="798"/>
      <c r="H4" s="798"/>
      <c r="I4" s="798"/>
      <c r="J4" s="798"/>
      <c r="K4" s="799"/>
    </row>
    <row r="5" spans="1:11" ht="13.5" customHeight="1">
      <c r="A5" s="45"/>
      <c r="B5" s="782"/>
      <c r="C5" s="769" t="s">
        <v>909</v>
      </c>
      <c r="D5" s="770"/>
      <c r="E5" s="771"/>
      <c r="F5" s="796"/>
      <c r="G5" s="796"/>
      <c r="H5" s="796"/>
      <c r="I5" s="766"/>
      <c r="J5" s="766"/>
      <c r="K5" s="797"/>
    </row>
    <row r="6" spans="1:11" ht="13.5" customHeight="1">
      <c r="A6" s="45"/>
      <c r="B6" s="782"/>
      <c r="C6" s="776" t="s">
        <v>36</v>
      </c>
      <c r="D6" s="776"/>
      <c r="E6" s="777"/>
      <c r="F6" s="796"/>
      <c r="G6" s="796"/>
      <c r="H6" s="796"/>
      <c r="I6" s="766"/>
      <c r="J6" s="766"/>
      <c r="K6" s="797"/>
    </row>
    <row r="7" spans="1:11" ht="13.5" customHeight="1">
      <c r="A7" s="45"/>
      <c r="B7" s="782"/>
      <c r="C7" s="770" t="s">
        <v>37</v>
      </c>
      <c r="D7" s="770"/>
      <c r="E7" s="771"/>
      <c r="F7" s="796"/>
      <c r="G7" s="796"/>
      <c r="H7" s="796"/>
      <c r="I7" s="766"/>
      <c r="J7" s="766"/>
      <c r="K7" s="797"/>
    </row>
    <row r="8" spans="1:11" ht="13.5" customHeight="1">
      <c r="A8" s="45"/>
      <c r="B8" s="782"/>
      <c r="C8" s="752" t="s">
        <v>38</v>
      </c>
      <c r="D8" s="752"/>
      <c r="E8" s="753"/>
      <c r="F8" s="796"/>
      <c r="G8" s="796"/>
      <c r="H8" s="796"/>
      <c r="I8" s="766"/>
      <c r="J8" s="766"/>
      <c r="K8" s="797"/>
    </row>
    <row r="9" spans="1:11" ht="13.5" customHeight="1">
      <c r="A9" s="45"/>
      <c r="B9" s="782"/>
      <c r="C9" s="770" t="s">
        <v>39</v>
      </c>
      <c r="D9" s="770"/>
      <c r="E9" s="771"/>
      <c r="F9" s="813"/>
      <c r="G9" s="813"/>
      <c r="H9" s="813"/>
      <c r="I9" s="803"/>
      <c r="J9" s="803"/>
      <c r="K9" s="814"/>
    </row>
    <row r="10" spans="1:11" ht="13.5" customHeight="1">
      <c r="A10" s="45"/>
      <c r="B10" s="782"/>
      <c r="C10" s="770" t="s">
        <v>40</v>
      </c>
      <c r="D10" s="770"/>
      <c r="E10" s="771"/>
      <c r="F10" s="796"/>
      <c r="G10" s="796"/>
      <c r="H10" s="796"/>
      <c r="I10" s="766"/>
      <c r="J10" s="766"/>
      <c r="K10" s="797"/>
    </row>
    <row r="11" spans="1:11" ht="13.5" customHeight="1">
      <c r="A11" s="45"/>
      <c r="B11" s="782"/>
      <c r="C11" s="769" t="s">
        <v>41</v>
      </c>
      <c r="D11" s="770"/>
      <c r="E11" s="771"/>
      <c r="F11" s="803"/>
      <c r="G11" s="804"/>
      <c r="H11" s="804"/>
      <c r="I11" s="804"/>
      <c r="J11" s="804"/>
      <c r="K11" s="805"/>
    </row>
    <row r="12" spans="1:11" ht="13.5" customHeight="1" thickBot="1">
      <c r="A12" s="45"/>
      <c r="B12" s="782"/>
      <c r="C12" s="775" t="s">
        <v>92</v>
      </c>
      <c r="D12" s="776"/>
      <c r="E12" s="777"/>
      <c r="F12" s="800"/>
      <c r="G12" s="801"/>
      <c r="H12" s="801"/>
      <c r="I12" s="801"/>
      <c r="J12" s="801"/>
      <c r="K12" s="802"/>
    </row>
    <row r="13" spans="1:11" ht="22.5" customHeight="1">
      <c r="A13" s="45"/>
      <c r="B13" s="781" t="s">
        <v>6</v>
      </c>
      <c r="C13" s="798" t="s">
        <v>443</v>
      </c>
      <c r="D13" s="798"/>
      <c r="E13" s="798"/>
      <c r="F13" s="798"/>
      <c r="G13" s="798"/>
      <c r="H13" s="798"/>
      <c r="I13" s="798"/>
      <c r="J13" s="798"/>
      <c r="K13" s="799"/>
    </row>
    <row r="14" spans="1:11" ht="15" customHeight="1">
      <c r="A14" s="45"/>
      <c r="B14" s="782"/>
      <c r="C14" s="308"/>
      <c r="D14" s="309"/>
      <c r="E14" s="309"/>
      <c r="F14" s="761" t="s">
        <v>911</v>
      </c>
      <c r="G14" s="762"/>
      <c r="H14" s="762"/>
      <c r="I14" s="762"/>
      <c r="J14" s="762"/>
      <c r="K14" s="763"/>
    </row>
    <row r="15" spans="1:11" ht="13.5" customHeight="1">
      <c r="A15" s="45"/>
      <c r="B15" s="782"/>
      <c r="C15" s="769" t="s">
        <v>912</v>
      </c>
      <c r="D15" s="770"/>
      <c r="E15" s="771"/>
      <c r="F15" s="766"/>
      <c r="G15" s="767"/>
      <c r="H15" s="767"/>
      <c r="I15" s="767"/>
      <c r="J15" s="767"/>
      <c r="K15" s="768"/>
    </row>
    <row r="16" spans="1:11" ht="13.5" customHeight="1">
      <c r="A16" s="45"/>
      <c r="B16" s="782"/>
      <c r="C16" s="775" t="s">
        <v>36</v>
      </c>
      <c r="D16" s="776"/>
      <c r="E16" s="777"/>
      <c r="F16" s="766"/>
      <c r="G16" s="767"/>
      <c r="H16" s="767"/>
      <c r="I16" s="767"/>
      <c r="J16" s="767"/>
      <c r="K16" s="768"/>
    </row>
    <row r="17" spans="1:14" ht="13.5" customHeight="1">
      <c r="A17" s="45"/>
      <c r="B17" s="782"/>
      <c r="C17" s="769" t="s">
        <v>37</v>
      </c>
      <c r="D17" s="770"/>
      <c r="E17" s="771"/>
      <c r="F17" s="766"/>
      <c r="G17" s="767"/>
      <c r="H17" s="767"/>
      <c r="I17" s="767"/>
      <c r="J17" s="767"/>
      <c r="K17" s="768"/>
    </row>
    <row r="18" spans="1:14" ht="13.5" customHeight="1">
      <c r="A18" s="45"/>
      <c r="B18" s="782"/>
      <c r="C18" s="752" t="s">
        <v>454</v>
      </c>
      <c r="D18" s="752"/>
      <c r="E18" s="753"/>
      <c r="F18" s="766"/>
      <c r="G18" s="767"/>
      <c r="H18" s="767"/>
      <c r="I18" s="767"/>
      <c r="J18" s="767"/>
      <c r="K18" s="768"/>
    </row>
    <row r="19" spans="1:14" ht="13.5" customHeight="1">
      <c r="A19" s="45"/>
      <c r="B19" s="782"/>
      <c r="C19" s="769" t="s">
        <v>42</v>
      </c>
      <c r="D19" s="770"/>
      <c r="E19" s="771"/>
      <c r="F19" s="766"/>
      <c r="G19" s="767"/>
      <c r="H19" s="767"/>
      <c r="I19" s="767"/>
      <c r="J19" s="767"/>
      <c r="K19" s="768"/>
    </row>
    <row r="20" spans="1:14" ht="13.5" customHeight="1">
      <c r="A20" s="45"/>
      <c r="B20" s="782"/>
      <c r="C20" s="769" t="s">
        <v>43</v>
      </c>
      <c r="D20" s="770"/>
      <c r="E20" s="771"/>
      <c r="F20" s="766"/>
      <c r="G20" s="767"/>
      <c r="H20" s="767"/>
      <c r="I20" s="767"/>
      <c r="J20" s="767"/>
      <c r="K20" s="768"/>
    </row>
    <row r="21" spans="1:14" ht="15.75" customHeight="1" thickBot="1">
      <c r="A21" s="45"/>
      <c r="B21" s="809"/>
      <c r="C21" s="772" t="s">
        <v>913</v>
      </c>
      <c r="D21" s="773"/>
      <c r="E21" s="774"/>
      <c r="F21" s="810"/>
      <c r="G21" s="811"/>
      <c r="H21" s="811"/>
      <c r="I21" s="811"/>
      <c r="J21" s="811"/>
      <c r="K21" s="812"/>
    </row>
    <row r="22" spans="1:14" ht="27" customHeight="1" thickBot="1">
      <c r="A22" s="45"/>
      <c r="B22" s="304" t="s">
        <v>7</v>
      </c>
      <c r="C22" s="757" t="s">
        <v>466</v>
      </c>
      <c r="D22" s="758"/>
      <c r="E22" s="758"/>
      <c r="F22" s="759"/>
      <c r="G22" s="420"/>
      <c r="H22" s="760" t="s">
        <v>467</v>
      </c>
      <c r="I22" s="758"/>
      <c r="J22" s="758"/>
      <c r="K22" s="421"/>
      <c r="N22" s="14"/>
    </row>
    <row r="23" spans="1:14" ht="13.5" customHeight="1">
      <c r="A23" s="45"/>
      <c r="B23" s="781" t="s">
        <v>8</v>
      </c>
      <c r="C23" s="784" t="s">
        <v>44</v>
      </c>
      <c r="D23" s="785"/>
      <c r="E23" s="785"/>
      <c r="F23" s="785"/>
      <c r="G23" s="785"/>
      <c r="H23" s="785"/>
      <c r="I23" s="785"/>
      <c r="J23" s="785"/>
      <c r="K23" s="786"/>
    </row>
    <row r="24" spans="1:14" ht="15" customHeight="1">
      <c r="A24" s="45"/>
      <c r="B24" s="782"/>
      <c r="C24" s="787" t="s">
        <v>45</v>
      </c>
      <c r="D24" s="788"/>
      <c r="E24" s="788"/>
      <c r="F24" s="38" t="s">
        <v>46</v>
      </c>
      <c r="G24" s="789" t="s">
        <v>41</v>
      </c>
      <c r="H24" s="790"/>
      <c r="I24" s="789" t="s">
        <v>47</v>
      </c>
      <c r="J24" s="790"/>
      <c r="K24" s="39" t="s">
        <v>38</v>
      </c>
    </row>
    <row r="25" spans="1:14" ht="13.5" thickBot="1">
      <c r="A25" s="45"/>
      <c r="B25" s="783"/>
      <c r="C25" s="791"/>
      <c r="D25" s="791"/>
      <c r="E25" s="791"/>
      <c r="F25" s="579"/>
      <c r="G25" s="764"/>
      <c r="H25" s="765"/>
      <c r="I25" s="792"/>
      <c r="J25" s="793"/>
      <c r="K25" s="580"/>
    </row>
    <row r="26" spans="1:14" ht="27" customHeight="1">
      <c r="A26" s="45"/>
      <c r="B26" s="794" t="s">
        <v>48</v>
      </c>
      <c r="C26" s="795"/>
      <c r="D26" s="795"/>
      <c r="E26" s="754"/>
      <c r="F26" s="755"/>
      <c r="G26" s="755"/>
      <c r="H26" s="755"/>
      <c r="I26" s="755"/>
      <c r="J26" s="755"/>
      <c r="K26" s="756"/>
    </row>
    <row r="27" spans="1:14" ht="12.75" customHeight="1">
      <c r="B27" s="40"/>
      <c r="C27" s="41"/>
      <c r="D27" s="41"/>
      <c r="E27" s="41"/>
      <c r="F27" s="41"/>
      <c r="G27" s="41"/>
      <c r="H27" s="41"/>
      <c r="I27" s="41"/>
      <c r="J27" s="41"/>
      <c r="K27" s="42"/>
    </row>
    <row r="28" spans="1:14" ht="12.75" customHeight="1" thickBot="1">
      <c r="B28" s="778" t="s">
        <v>4</v>
      </c>
      <c r="C28" s="779"/>
      <c r="D28" s="779"/>
      <c r="E28" s="779"/>
      <c r="F28" s="779"/>
      <c r="G28" s="779"/>
      <c r="H28" s="779"/>
      <c r="I28" s="779"/>
      <c r="J28" s="779"/>
      <c r="K28" s="780"/>
    </row>
    <row r="29" spans="1:14" ht="13.5" customHeight="1"/>
    <row r="30" spans="1:14" ht="13.5" customHeight="1"/>
    <row r="31" spans="1:14" ht="13.5" customHeight="1"/>
    <row r="32" spans="1:14" ht="39" customHeight="1"/>
    <row r="33" ht="13.5" customHeight="1"/>
    <row r="34" ht="13.5" customHeight="1"/>
    <row r="35" ht="13.5" customHeight="1"/>
    <row r="36" ht="13.5" customHeight="1"/>
    <row r="37" ht="27" customHeight="1"/>
    <row r="38" ht="12.75" customHeight="1"/>
    <row r="39" ht="12.75" customHeight="1"/>
    <row r="40" ht="13.5" customHeight="1"/>
    <row r="41" ht="13.5" customHeight="1"/>
  </sheetData>
  <sheetProtection password="C288" sheet="1"/>
  <mergeCells count="51">
    <mergeCell ref="B13:B21"/>
    <mergeCell ref="F20:K20"/>
    <mergeCell ref="F21:K21"/>
    <mergeCell ref="F9:K9"/>
    <mergeCell ref="F15:K15"/>
    <mergeCell ref="F11:K11"/>
    <mergeCell ref="B2:D2"/>
    <mergeCell ref="F2:H2"/>
    <mergeCell ref="B3:K3"/>
    <mergeCell ref="C5:E5"/>
    <mergeCell ref="F5:K5"/>
    <mergeCell ref="C17:E17"/>
    <mergeCell ref="B4:B12"/>
    <mergeCell ref="F7:K7"/>
    <mergeCell ref="F16:K16"/>
    <mergeCell ref="C7:E7"/>
    <mergeCell ref="C4:K4"/>
    <mergeCell ref="C6:E6"/>
    <mergeCell ref="F12:K12"/>
    <mergeCell ref="C9:E9"/>
    <mergeCell ref="C11:E11"/>
    <mergeCell ref="B26:D26"/>
    <mergeCell ref="F6:K6"/>
    <mergeCell ref="F19:K19"/>
    <mergeCell ref="C13:K13"/>
    <mergeCell ref="C15:E15"/>
    <mergeCell ref="F10:K10"/>
    <mergeCell ref="C8:E8"/>
    <mergeCell ref="C19:E19"/>
    <mergeCell ref="C12:E12"/>
    <mergeCell ref="F8:K8"/>
    <mergeCell ref="F17:K17"/>
    <mergeCell ref="C10:E10"/>
    <mergeCell ref="B28:K28"/>
    <mergeCell ref="B23:B25"/>
    <mergeCell ref="C23:K23"/>
    <mergeCell ref="C24:E24"/>
    <mergeCell ref="G24:H24"/>
    <mergeCell ref="I24:J24"/>
    <mergeCell ref="C25:E25"/>
    <mergeCell ref="I25:J25"/>
    <mergeCell ref="C18:E18"/>
    <mergeCell ref="E26:K26"/>
    <mergeCell ref="C22:F22"/>
    <mergeCell ref="H22:J22"/>
    <mergeCell ref="F14:K14"/>
    <mergeCell ref="G25:H25"/>
    <mergeCell ref="F18:K18"/>
    <mergeCell ref="C20:E20"/>
    <mergeCell ref="C21:E21"/>
    <mergeCell ref="C16:E16"/>
  </mergeCells>
  <dataValidations count="4">
    <dataValidation type="textLength" operator="equal" allowBlank="1" showInputMessage="1" showErrorMessage="1" errorTitle="Five Digit ZIp Code Required" error="Please enter only a five digit zip code." sqref="F9:K9">
      <formula1>5</formula1>
    </dataValidation>
    <dataValidation type="list" allowBlank="1" showInputMessage="1" showErrorMessage="1" errorTitle="State" error="Select a state from the dropdown menu or type a full state name." sqref="F8:K8 K25">
      <formula1>State</formula1>
    </dataValidation>
    <dataValidation type="list" allowBlank="1" showInputMessage="1" showErrorMessage="1" errorTitle="Public/Private" error="Select Publicly Traded or Privately Held from the dropdown menu." sqref="G22">
      <formula1>PubPriv</formula1>
    </dataValidation>
    <dataValidation type="list" allowBlank="1" showInputMessage="1" showErrorMessage="1" errorTitle="Country" error="Select a country from the dropdown menu." sqref="F19:K19">
      <formula1>Country</formula1>
    </dataValidation>
  </dataValidations>
  <hyperlinks>
    <hyperlink ref="B2:D2" location="'Respondent Profile'!A1" tooltip="Respondent Profile" display="Previous Page"/>
    <hyperlink ref="F2:H2" location="'Table of Contents'!A1" tooltip="Table of Contents" display="Table of Contents"/>
    <hyperlink ref="K2" location="'1b'!A1" tooltip="Organization Information (Continued)" display="Next Page"/>
  </hyperlinks>
  <pageMargins left="0.25" right="0.25" top="0.75" bottom="0.75" header="0.3" footer="0.3"/>
  <pageSetup scale="93" orientation="landscape" cellComments="atEnd" r:id="rId1"/>
  <headerFooter>
    <oddHeader>&amp;F</oddHeader>
    <oddFooter>Page &amp;P of &amp;N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4"/>
  <sheetViews>
    <sheetView zoomScale="85" zoomScaleNormal="85" workbookViewId="0">
      <selection activeCell="A2" sqref="A2:P2"/>
    </sheetView>
  </sheetViews>
  <sheetFormatPr defaultRowHeight="15"/>
  <sheetData>
    <row r="1" spans="1:52">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1968</v>
      </c>
      <c r="R1" t="s">
        <v>1969</v>
      </c>
      <c r="S1" s="588" t="s">
        <v>2019</v>
      </c>
      <c r="T1" t="s">
        <v>1978</v>
      </c>
      <c r="U1" t="s">
        <v>1979</v>
      </c>
      <c r="V1" t="s">
        <v>1980</v>
      </c>
      <c r="W1" t="s">
        <v>1981</v>
      </c>
      <c r="X1" t="s">
        <v>1982</v>
      </c>
      <c r="Y1" t="s">
        <v>1983</v>
      </c>
      <c r="Z1" t="s">
        <v>1984</v>
      </c>
      <c r="AA1" t="s">
        <v>1985</v>
      </c>
      <c r="AB1" t="s">
        <v>1986</v>
      </c>
      <c r="AC1" t="s">
        <v>1987</v>
      </c>
      <c r="AD1" t="s">
        <v>1988</v>
      </c>
      <c r="AE1" t="s">
        <v>1989</v>
      </c>
      <c r="AF1" t="s">
        <v>1990</v>
      </c>
      <c r="AG1" t="s">
        <v>1991</v>
      </c>
      <c r="AH1" t="s">
        <v>1992</v>
      </c>
      <c r="AI1" t="s">
        <v>1993</v>
      </c>
      <c r="AJ1" t="s">
        <v>1994</v>
      </c>
      <c r="AK1" t="s">
        <v>1995</v>
      </c>
      <c r="AL1" t="s">
        <v>1996</v>
      </c>
      <c r="AM1" t="s">
        <v>1997</v>
      </c>
      <c r="AN1" t="s">
        <v>1998</v>
      </c>
      <c r="AO1" t="s">
        <v>1999</v>
      </c>
      <c r="AP1" t="s">
        <v>2000</v>
      </c>
      <c r="AQ1" t="s">
        <v>2001</v>
      </c>
      <c r="AR1" t="s">
        <v>2002</v>
      </c>
      <c r="AS1" t="s">
        <v>2003</v>
      </c>
      <c r="AT1" t="s">
        <v>2004</v>
      </c>
      <c r="AU1" t="s">
        <v>2005</v>
      </c>
      <c r="AV1" t="s">
        <v>2006</v>
      </c>
      <c r="AW1" t="s">
        <v>2007</v>
      </c>
      <c r="AX1" t="s">
        <v>2008</v>
      </c>
      <c r="AY1" t="s">
        <v>2009</v>
      </c>
      <c r="AZ1" t="s">
        <v>2010</v>
      </c>
    </row>
    <row r="2" spans="1:52">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Q10_B_USGImpact_YN</f>
        <v>0</v>
      </c>
      <c r="R2">
        <f>Q10_B_USGImpact_Explain</f>
        <v>0</v>
      </c>
      <c r="S2" s="588">
        <f>Q11a_B_Difficulty_YN</f>
        <v>0</v>
      </c>
      <c r="T2">
        <f>Q11a_C_USCitizens_YN</f>
        <v>0</v>
      </c>
      <c r="U2">
        <f>Q11a_C_USCitizens_Explain</f>
        <v>0</v>
      </c>
      <c r="V2">
        <f>Q11a_C_Qualified_YN</f>
        <v>0</v>
      </c>
      <c r="W2">
        <f>Q11a_C_Qualified_Explain</f>
        <v>0</v>
      </c>
      <c r="X2">
        <f>Q11a_C_Exper_YN</f>
        <v>0</v>
      </c>
      <c r="Y2">
        <f>Q11a_C_Exper_Explain</f>
        <v>0</v>
      </c>
      <c r="Z2">
        <f>Q11a_C_Clearance_YN</f>
        <v>0</v>
      </c>
      <c r="AA2">
        <f>Q11a_C_Clearance_Explain</f>
        <v>0</v>
      </c>
      <c r="AB2">
        <f>Q11a_C_Location_YN</f>
        <v>0</v>
      </c>
      <c r="AC2">
        <f>Q11a_C_Location_Explain</f>
        <v>0</v>
      </c>
      <c r="AD2">
        <f>Q11a_C_Retirement_YN</f>
        <v>0</v>
      </c>
      <c r="AE2">
        <f>Q11a_C_Retirement_Explain</f>
        <v>0</v>
      </c>
      <c r="AF2">
        <f>Q11a_C_Turnover_YN</f>
        <v>0</v>
      </c>
      <c r="AG2">
        <f>Q11a_C_Turnover_Explain</f>
        <v>0</v>
      </c>
      <c r="AH2" t="str">
        <f>Q11a_C_Other1_Specify</f>
        <v>(specify here)</v>
      </c>
      <c r="AI2">
        <f>Q11a_C_Other1_YN</f>
        <v>0</v>
      </c>
      <c r="AJ2">
        <f>Q11a_C_Other1_Explain</f>
        <v>0</v>
      </c>
      <c r="AK2" t="str">
        <f>Q11a_C_Other2_Specify</f>
        <v>(specify here)</v>
      </c>
      <c r="AL2">
        <f>Q11a_C_Other2_YN</f>
        <v>0</v>
      </c>
      <c r="AM2">
        <f>Q11a_C_Other2_Explain</f>
        <v>0</v>
      </c>
      <c r="AN2">
        <f>Q11a_Comment</f>
        <v>0</v>
      </c>
      <c r="AO2">
        <f>Q11b_A_RetirePct</f>
        <v>0</v>
      </c>
      <c r="AP2">
        <f>Q11b_A_ReplacePct</f>
        <v>0</v>
      </c>
      <c r="AQ2">
        <f>Q11b_A_Explain</f>
        <v>0</v>
      </c>
      <c r="AR2">
        <f>Q11b_B_Over20_Count</f>
        <v>0</v>
      </c>
      <c r="AS2">
        <f>Q11b_B_11to20_Count</f>
        <v>0</v>
      </c>
      <c r="AT2">
        <f>Q11b_B_6to10_Count</f>
        <v>0</v>
      </c>
      <c r="AU2">
        <f>Q11b_B_Under5_Count</f>
        <v>0</v>
      </c>
      <c r="AV2">
        <f>Q11b_B_Over20_PctUS</f>
        <v>0</v>
      </c>
      <c r="AW2">
        <f>Q11b_B_11to20_PctUS</f>
        <v>0</v>
      </c>
      <c r="AX2">
        <f>Q11b_B_6to10_PctUS</f>
        <v>0</v>
      </c>
      <c r="AY2">
        <f>Q11b_B_Under5_PctUS</f>
        <v>0</v>
      </c>
      <c r="AZ2">
        <f>Q11b_Comment</f>
        <v>0</v>
      </c>
    </row>
    <row r="20" spans="30:36">
      <c r="AJ20" s="588"/>
    </row>
    <row r="21" spans="30:36">
      <c r="AJ21" s="588"/>
    </row>
    <row r="22" spans="30:36">
      <c r="AJ22" s="588"/>
    </row>
    <row r="23" spans="30:36">
      <c r="AJ23" s="588"/>
    </row>
    <row r="24" spans="30:36">
      <c r="AD24" s="588"/>
      <c r="AJ24" s="588"/>
    </row>
    <row r="25" spans="30:36">
      <c r="AD25" s="588"/>
      <c r="AJ25" s="588"/>
    </row>
    <row r="26" spans="30:36">
      <c r="AD26" s="588"/>
      <c r="AJ26" s="588"/>
    </row>
    <row r="27" spans="30:36">
      <c r="AD27" s="588"/>
      <c r="AJ27" s="588"/>
    </row>
    <row r="28" spans="30:36">
      <c r="AD28" s="588"/>
      <c r="AJ28" s="588"/>
    </row>
    <row r="29" spans="30:36">
      <c r="AD29" s="588"/>
      <c r="AJ29" s="588"/>
    </row>
    <row r="30" spans="30:36">
      <c r="AD30" s="588"/>
      <c r="AJ30" s="588"/>
    </row>
    <row r="31" spans="30:36">
      <c r="AD31" s="588"/>
      <c r="AJ31" s="588"/>
    </row>
    <row r="32" spans="30:36">
      <c r="AD32" s="588"/>
    </row>
    <row r="33" spans="30:30">
      <c r="AD33" s="588"/>
    </row>
    <row r="34" spans="30:30">
      <c r="AD34" s="588"/>
    </row>
    <row r="35" spans="30:30">
      <c r="AD35" s="588"/>
    </row>
    <row r="36" spans="30:30">
      <c r="AD36" s="588"/>
    </row>
    <row r="37" spans="30:30">
      <c r="AD37" s="588"/>
    </row>
    <row r="38" spans="30:30">
      <c r="AD38" s="588"/>
    </row>
    <row r="39" spans="30:30">
      <c r="AD39" s="588"/>
    </row>
    <row r="40" spans="30:30">
      <c r="AD40" s="588"/>
    </row>
    <row r="41" spans="30:30">
      <c r="AD41" s="588"/>
    </row>
    <row r="42" spans="30:30">
      <c r="AD42" s="588"/>
    </row>
    <row r="43" spans="30:30">
      <c r="AD43" s="588"/>
    </row>
    <row r="44" spans="30:30">
      <c r="AD44" s="588"/>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zoomScale="85" zoomScaleNormal="85" workbookViewId="0">
      <selection activeCell="A2" sqref="A2:P2"/>
    </sheetView>
  </sheetViews>
  <sheetFormatPr defaultRowHeight="15"/>
  <cols>
    <col min="19" max="19" width="57.42578125" bestFit="1" customWidth="1"/>
    <col min="22" max="22" width="9.140625" style="623"/>
  </cols>
  <sheetData>
    <row r="1" spans="1:27">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1820</v>
      </c>
      <c r="R1" t="s">
        <v>1821</v>
      </c>
      <c r="S1" t="s">
        <v>1838</v>
      </c>
      <c r="T1" t="s">
        <v>98</v>
      </c>
      <c r="U1" t="s">
        <v>1824</v>
      </c>
      <c r="V1" s="623" t="s">
        <v>1825</v>
      </c>
    </row>
    <row r="2" spans="1:27">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 t="shared" ref="Q2:Q41" si="0">Q11a_Schedule</f>
        <v>0</v>
      </c>
      <c r="R2">
        <f t="shared" ref="R2:R41" si="1">Q11a_Source</f>
        <v>0</v>
      </c>
      <c r="S2" t="s">
        <v>2011</v>
      </c>
      <c r="T2">
        <v>2012</v>
      </c>
      <c r="U2" s="588">
        <f>Q11a_FTE_Total_2012</f>
        <v>0</v>
      </c>
      <c r="V2" s="623">
        <v>1</v>
      </c>
    </row>
    <row r="3" spans="1:27">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f t="shared" si="0"/>
        <v>0</v>
      </c>
      <c r="R3">
        <f t="shared" si="1"/>
        <v>0</v>
      </c>
      <c r="S3" t="s">
        <v>2012</v>
      </c>
      <c r="T3">
        <v>2012</v>
      </c>
      <c r="U3" s="597">
        <f>U2*V3</f>
        <v>0</v>
      </c>
      <c r="V3" s="623">
        <f>Q11a_FTE_AdminPct_2012</f>
        <v>0</v>
      </c>
    </row>
    <row r="4" spans="1:27">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f t="shared" si="0"/>
        <v>0</v>
      </c>
      <c r="R4">
        <f t="shared" si="1"/>
        <v>0</v>
      </c>
      <c r="S4" t="s">
        <v>2013</v>
      </c>
      <c r="T4">
        <v>2012</v>
      </c>
      <c r="U4" s="597">
        <f>U2*V4</f>
        <v>0</v>
      </c>
      <c r="V4" s="623">
        <f>Q11a_FTE_SciencePct_2012</f>
        <v>0</v>
      </c>
    </row>
    <row r="5" spans="1:27">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f t="shared" si="0"/>
        <v>0</v>
      </c>
      <c r="R5">
        <f t="shared" si="1"/>
        <v>0</v>
      </c>
      <c r="S5" t="s">
        <v>2014</v>
      </c>
      <c r="T5">
        <v>2012</v>
      </c>
      <c r="U5" s="597">
        <f>U2*V5</f>
        <v>0</v>
      </c>
      <c r="V5" s="623">
        <f>Q11a_FTE_FacilitiesPct_2012</f>
        <v>0</v>
      </c>
    </row>
    <row r="6" spans="1:27">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f t="shared" si="0"/>
        <v>0</v>
      </c>
      <c r="R6">
        <f t="shared" si="1"/>
        <v>0</v>
      </c>
      <c r="S6" t="s">
        <v>2015</v>
      </c>
      <c r="T6">
        <v>2012</v>
      </c>
      <c r="U6" s="597">
        <f>U2*V6</f>
        <v>0</v>
      </c>
      <c r="V6" s="623">
        <f>Q11a_FTE_ITPct_2012</f>
        <v>0</v>
      </c>
    </row>
    <row r="7" spans="1:27">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f t="shared" si="0"/>
        <v>0</v>
      </c>
      <c r="R7">
        <f t="shared" si="1"/>
        <v>0</v>
      </c>
      <c r="S7" t="s">
        <v>2016</v>
      </c>
      <c r="T7">
        <v>2012</v>
      </c>
      <c r="U7" s="597">
        <f>U2*V7</f>
        <v>0</v>
      </c>
      <c r="V7" s="623">
        <f>Q11a_FTE_SalesPct_2012</f>
        <v>0</v>
      </c>
    </row>
    <row r="8" spans="1:27">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f t="shared" si="0"/>
        <v>0</v>
      </c>
      <c r="R8">
        <f t="shared" si="1"/>
        <v>0</v>
      </c>
      <c r="S8" t="s">
        <v>2017</v>
      </c>
      <c r="T8">
        <v>2012</v>
      </c>
      <c r="U8" s="597">
        <f>U2*V8</f>
        <v>0</v>
      </c>
      <c r="V8" s="623">
        <f>Q11a_FTE_ProductionPct_2012</f>
        <v>0</v>
      </c>
    </row>
    <row r="9" spans="1:27">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f t="shared" si="0"/>
        <v>0</v>
      </c>
      <c r="R9">
        <f t="shared" si="1"/>
        <v>0</v>
      </c>
      <c r="S9" t="s">
        <v>2018</v>
      </c>
      <c r="T9">
        <v>2012</v>
      </c>
      <c r="U9" s="597">
        <f>U2*V9</f>
        <v>0</v>
      </c>
      <c r="V9" s="623">
        <f>Q11a_FTE_QCPct_2012</f>
        <v>0</v>
      </c>
    </row>
    <row r="10" spans="1:27">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f t="shared" si="0"/>
        <v>0</v>
      </c>
      <c r="R10">
        <f t="shared" si="1"/>
        <v>0</v>
      </c>
      <c r="S10" t="str">
        <f>'11a'!F16</f>
        <v>(specify here)</v>
      </c>
      <c r="T10">
        <v>2012</v>
      </c>
      <c r="U10" s="597">
        <f>U2*V10</f>
        <v>0</v>
      </c>
      <c r="V10" s="623">
        <f>Q11a_FTE_Other1Pct_2012</f>
        <v>0</v>
      </c>
    </row>
    <row r="11" spans="1:27">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f t="shared" si="0"/>
        <v>0</v>
      </c>
      <c r="R11">
        <f t="shared" si="1"/>
        <v>0</v>
      </c>
      <c r="S11" t="str">
        <f>'11a'!F17</f>
        <v>(specify here)</v>
      </c>
      <c r="T11">
        <v>2012</v>
      </c>
      <c r="U11" s="597">
        <f>U2*V11</f>
        <v>0</v>
      </c>
      <c r="V11" s="623">
        <f>Q11a_FTE_Other2Pct_2012</f>
        <v>0</v>
      </c>
    </row>
    <row r="12" spans="1:27">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f t="shared" si="0"/>
        <v>0</v>
      </c>
      <c r="R12">
        <f t="shared" si="1"/>
        <v>0</v>
      </c>
      <c r="S12" t="s">
        <v>2011</v>
      </c>
      <c r="T12">
        <v>2013</v>
      </c>
      <c r="U12" s="588">
        <f>Q11a_FTE_Total_2013</f>
        <v>0</v>
      </c>
      <c r="V12" s="623">
        <v>1</v>
      </c>
    </row>
    <row r="13" spans="1:27">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f t="shared" si="0"/>
        <v>0</v>
      </c>
      <c r="R13">
        <f t="shared" si="1"/>
        <v>0</v>
      </c>
      <c r="S13" t="s">
        <v>2012</v>
      </c>
      <c r="T13">
        <v>2013</v>
      </c>
      <c r="U13" s="597">
        <f>U12*V13</f>
        <v>0</v>
      </c>
      <c r="V13" s="623">
        <f>Q11a_FTE_AdminPct_2013</f>
        <v>0</v>
      </c>
      <c r="AA13" s="588"/>
    </row>
    <row r="14" spans="1:27">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f t="shared" si="0"/>
        <v>0</v>
      </c>
      <c r="R14">
        <f t="shared" si="1"/>
        <v>0</v>
      </c>
      <c r="S14" t="s">
        <v>2013</v>
      </c>
      <c r="T14">
        <v>2013</v>
      </c>
      <c r="U14" s="597">
        <f>U12*V14</f>
        <v>0</v>
      </c>
      <c r="V14" s="623">
        <f>Q11a_FTE_SciencePct_2013</f>
        <v>0</v>
      </c>
      <c r="AA14" s="588"/>
    </row>
    <row r="15" spans="1:27">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f t="shared" si="0"/>
        <v>0</v>
      </c>
      <c r="R15">
        <f t="shared" si="1"/>
        <v>0</v>
      </c>
      <c r="S15" t="s">
        <v>2014</v>
      </c>
      <c r="T15">
        <v>2013</v>
      </c>
      <c r="U15" s="597">
        <f>U12*V15</f>
        <v>0</v>
      </c>
      <c r="V15" s="623">
        <f>Q11a_FTE_FacilitiesPct_2013</f>
        <v>0</v>
      </c>
      <c r="AA15" s="588"/>
    </row>
    <row r="16" spans="1:27">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f t="shared" si="0"/>
        <v>0</v>
      </c>
      <c r="R16">
        <f t="shared" si="1"/>
        <v>0</v>
      </c>
      <c r="S16" t="s">
        <v>2015</v>
      </c>
      <c r="T16">
        <v>2013</v>
      </c>
      <c r="U16" s="597">
        <f>U12*V16</f>
        <v>0</v>
      </c>
      <c r="V16" s="623">
        <f>Q11a_FTE_ITPct_2013</f>
        <v>0</v>
      </c>
    </row>
    <row r="17" spans="1:27">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f t="shared" si="0"/>
        <v>0</v>
      </c>
      <c r="R17">
        <f t="shared" si="1"/>
        <v>0</v>
      </c>
      <c r="S17" t="s">
        <v>2016</v>
      </c>
      <c r="T17">
        <v>2013</v>
      </c>
      <c r="U17" s="597">
        <f>U12*V17</f>
        <v>0</v>
      </c>
      <c r="V17" s="623">
        <f>Q11a_FTE_SalesPct_2013</f>
        <v>0</v>
      </c>
      <c r="AA17" s="588"/>
    </row>
    <row r="18" spans="1:27">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f t="shared" si="0"/>
        <v>0</v>
      </c>
      <c r="R18">
        <f t="shared" si="1"/>
        <v>0</v>
      </c>
      <c r="S18" t="s">
        <v>2017</v>
      </c>
      <c r="T18">
        <v>2013</v>
      </c>
      <c r="U18" s="597">
        <f>U12*V18</f>
        <v>0</v>
      </c>
      <c r="V18" s="623">
        <f>Q11a_FTE_ProductionPct_2013</f>
        <v>0</v>
      </c>
      <c r="AA18" s="588"/>
    </row>
    <row r="19" spans="1:27">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f t="shared" si="0"/>
        <v>0</v>
      </c>
      <c r="R19">
        <f t="shared" si="1"/>
        <v>0</v>
      </c>
      <c r="S19" t="s">
        <v>2018</v>
      </c>
      <c r="T19">
        <v>2013</v>
      </c>
      <c r="U19" s="597">
        <f>U12*V19</f>
        <v>0</v>
      </c>
      <c r="V19" s="623">
        <f>Q11a_FTE_QCPct_2013</f>
        <v>0</v>
      </c>
      <c r="AA19" s="588"/>
    </row>
    <row r="20" spans="1:27">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f t="shared" si="0"/>
        <v>0</v>
      </c>
      <c r="R20">
        <f t="shared" si="1"/>
        <v>0</v>
      </c>
      <c r="S20">
        <f>'11a'!F26</f>
        <v>0</v>
      </c>
      <c r="T20">
        <v>2013</v>
      </c>
      <c r="U20" s="597">
        <f>U12*V20</f>
        <v>0</v>
      </c>
      <c r="V20" s="623">
        <f>Q11a_FTE_Other1Pct_2013</f>
        <v>0</v>
      </c>
    </row>
    <row r="21" spans="1:27">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f t="shared" si="0"/>
        <v>0</v>
      </c>
      <c r="R21">
        <f t="shared" si="1"/>
        <v>0</v>
      </c>
      <c r="S21">
        <f>'11a'!F27</f>
        <v>0</v>
      </c>
      <c r="T21">
        <v>2013</v>
      </c>
      <c r="U21" s="597">
        <f>U12*V21</f>
        <v>0</v>
      </c>
      <c r="V21" s="623">
        <f>Q11a_FTE_Other2Pct_2013</f>
        <v>0</v>
      </c>
      <c r="AA21" s="588"/>
    </row>
    <row r="22" spans="1:27">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f t="shared" si="0"/>
        <v>0</v>
      </c>
      <c r="R22">
        <f t="shared" si="1"/>
        <v>0</v>
      </c>
      <c r="S22" t="s">
        <v>2011</v>
      </c>
      <c r="T22">
        <v>2014</v>
      </c>
      <c r="U22" s="588">
        <f>Q11a_FTE_Total_2014</f>
        <v>0</v>
      </c>
      <c r="V22" s="623">
        <v>1</v>
      </c>
      <c r="AA22" s="588"/>
    </row>
    <row r="23" spans="1:27">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f t="shared" si="0"/>
        <v>0</v>
      </c>
      <c r="R23">
        <f t="shared" si="1"/>
        <v>0</v>
      </c>
      <c r="S23" t="s">
        <v>2012</v>
      </c>
      <c r="T23">
        <v>2014</v>
      </c>
      <c r="U23" s="597">
        <f>U22*V23</f>
        <v>0</v>
      </c>
      <c r="V23" s="623">
        <f>Q11a_FTE_AdminPct_2014</f>
        <v>0</v>
      </c>
      <c r="AA23" s="588"/>
    </row>
    <row r="24" spans="1:27">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f t="shared" si="0"/>
        <v>0</v>
      </c>
      <c r="R24">
        <f t="shared" si="1"/>
        <v>0</v>
      </c>
      <c r="S24" t="s">
        <v>2013</v>
      </c>
      <c r="T24">
        <v>2014</v>
      </c>
      <c r="U24" s="597">
        <f>U22*V24</f>
        <v>0</v>
      </c>
      <c r="V24" s="623">
        <f>Q11a_FTE_SciencePct_2014</f>
        <v>0</v>
      </c>
    </row>
    <row r="25" spans="1:27">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f t="shared" si="0"/>
        <v>0</v>
      </c>
      <c r="R25">
        <f t="shared" si="1"/>
        <v>0</v>
      </c>
      <c r="S25" t="s">
        <v>2014</v>
      </c>
      <c r="T25">
        <v>2014</v>
      </c>
      <c r="U25" s="597">
        <f>U22*V25</f>
        <v>0</v>
      </c>
      <c r="V25" s="623">
        <f>Q11a_FTE_FacilitiesPct_2014</f>
        <v>0</v>
      </c>
      <c r="AA25" s="588"/>
    </row>
    <row r="26" spans="1:27">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f t="shared" si="0"/>
        <v>0</v>
      </c>
      <c r="R26">
        <f t="shared" si="1"/>
        <v>0</v>
      </c>
      <c r="S26" t="s">
        <v>2015</v>
      </c>
      <c r="T26">
        <v>2014</v>
      </c>
      <c r="U26" s="597">
        <f>U22*V26</f>
        <v>0</v>
      </c>
      <c r="V26" s="623">
        <f>Q11a_FTE_ITPct_2014</f>
        <v>0</v>
      </c>
      <c r="AA26" s="588"/>
    </row>
    <row r="27" spans="1:27">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f t="shared" si="0"/>
        <v>0</v>
      </c>
      <c r="R27">
        <f t="shared" si="1"/>
        <v>0</v>
      </c>
      <c r="S27" t="s">
        <v>2016</v>
      </c>
      <c r="T27">
        <v>2014</v>
      </c>
      <c r="U27" s="597">
        <f>U22*V27</f>
        <v>0</v>
      </c>
      <c r="V27" s="623">
        <f>Q11a_FTE_SalesPct_2014</f>
        <v>0</v>
      </c>
      <c r="AA27" s="588"/>
    </row>
    <row r="28" spans="1:27">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f t="shared" si="0"/>
        <v>0</v>
      </c>
      <c r="R28">
        <f t="shared" si="1"/>
        <v>0</v>
      </c>
      <c r="S28" t="s">
        <v>2017</v>
      </c>
      <c r="T28">
        <v>2014</v>
      </c>
      <c r="U28" s="597">
        <f>U22*V28</f>
        <v>0</v>
      </c>
      <c r="V28" s="623">
        <f>Q11a_FTE_ProductionPct_2014</f>
        <v>0</v>
      </c>
    </row>
    <row r="29" spans="1:27">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f t="shared" si="0"/>
        <v>0</v>
      </c>
      <c r="R29">
        <f t="shared" si="1"/>
        <v>0</v>
      </c>
      <c r="S29" t="s">
        <v>2018</v>
      </c>
      <c r="T29">
        <v>2014</v>
      </c>
      <c r="U29" s="597">
        <f>U22*V29</f>
        <v>0</v>
      </c>
      <c r="V29" s="623">
        <f>Q11a_FTE_QCPct_2014</f>
        <v>0</v>
      </c>
      <c r="AA29" s="588"/>
    </row>
    <row r="30" spans="1:27">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f t="shared" si="0"/>
        <v>0</v>
      </c>
      <c r="R30">
        <f t="shared" si="1"/>
        <v>0</v>
      </c>
      <c r="S30">
        <f>'11a'!F36</f>
        <v>0</v>
      </c>
      <c r="T30">
        <v>2014</v>
      </c>
      <c r="U30" s="597">
        <f>U22*V30</f>
        <v>0</v>
      </c>
      <c r="V30" s="623">
        <f>Q11a_FTE_Other1Pct_2014</f>
        <v>0</v>
      </c>
      <c r="AA30" s="588"/>
    </row>
    <row r="31" spans="1:27">
      <c r="A31">
        <f>'D-RP-1'!A$2</f>
        <v>0</v>
      </c>
      <c r="B31">
        <f>'D-RP-1'!B$2</f>
        <v>0</v>
      </c>
      <c r="C31">
        <f>'D-RP-1'!C$2</f>
        <v>0</v>
      </c>
      <c r="D31">
        <f>'D-RP-1'!D$2</f>
        <v>0</v>
      </c>
      <c r="E31">
        <f>'D-RP-1'!E$2</f>
        <v>0</v>
      </c>
      <c r="F31">
        <f>'D-RP-1'!F$2</f>
        <v>0</v>
      </c>
      <c r="G31">
        <f>'D-RP-1'!G$2</f>
        <v>0</v>
      </c>
      <c r="H31">
        <f>'D-RP-1'!H$2</f>
        <v>0</v>
      </c>
      <c r="I31">
        <f>'D-RP-1'!I$2</f>
        <v>0</v>
      </c>
      <c r="J31">
        <f>'D-RP-1'!J$2</f>
        <v>0</v>
      </c>
      <c r="K31">
        <f>'D-RP-1'!K$2</f>
        <v>0</v>
      </c>
      <c r="L31" t="str">
        <f>'D-RP-1'!L$2</f>
        <v>No Sales</v>
      </c>
      <c r="M31">
        <f>'D-RP-1'!M$2</f>
        <v>0</v>
      </c>
      <c r="N31" t="str">
        <f>'D-RP-1'!N$2</f>
        <v>Insufficient Data</v>
      </c>
      <c r="O31" t="str">
        <f>'D-RP-1'!O$2</f>
        <v>Insufficient Data</v>
      </c>
      <c r="P31" t="str">
        <f>'D-RP-1'!P$2</f>
        <v>Uncalculated</v>
      </c>
      <c r="Q31">
        <f t="shared" si="0"/>
        <v>0</v>
      </c>
      <c r="R31">
        <f t="shared" si="1"/>
        <v>0</v>
      </c>
      <c r="S31">
        <f>'11a'!F37</f>
        <v>0</v>
      </c>
      <c r="T31">
        <v>2014</v>
      </c>
      <c r="U31" s="597">
        <f>U22*V31</f>
        <v>0</v>
      </c>
      <c r="V31" s="623">
        <f>Q11a_FTE_Other2Pct_2014</f>
        <v>0</v>
      </c>
      <c r="AA31" s="588"/>
    </row>
    <row r="32" spans="1:27">
      <c r="A32">
        <f>'D-RP-1'!A$2</f>
        <v>0</v>
      </c>
      <c r="B32">
        <f>'D-RP-1'!B$2</f>
        <v>0</v>
      </c>
      <c r="C32">
        <f>'D-RP-1'!C$2</f>
        <v>0</v>
      </c>
      <c r="D32">
        <f>'D-RP-1'!D$2</f>
        <v>0</v>
      </c>
      <c r="E32">
        <f>'D-RP-1'!E$2</f>
        <v>0</v>
      </c>
      <c r="F32">
        <f>'D-RP-1'!F$2</f>
        <v>0</v>
      </c>
      <c r="G32">
        <f>'D-RP-1'!G$2</f>
        <v>0</v>
      </c>
      <c r="H32">
        <f>'D-RP-1'!H$2</f>
        <v>0</v>
      </c>
      <c r="I32">
        <f>'D-RP-1'!I$2</f>
        <v>0</v>
      </c>
      <c r="J32">
        <f>'D-RP-1'!J$2</f>
        <v>0</v>
      </c>
      <c r="K32">
        <f>'D-RP-1'!K$2</f>
        <v>0</v>
      </c>
      <c r="L32" t="str">
        <f>'D-RP-1'!L$2</f>
        <v>No Sales</v>
      </c>
      <c r="M32">
        <f>'D-RP-1'!M$2</f>
        <v>0</v>
      </c>
      <c r="N32" t="str">
        <f>'D-RP-1'!N$2</f>
        <v>Insufficient Data</v>
      </c>
      <c r="O32" t="str">
        <f>'D-RP-1'!O$2</f>
        <v>Insufficient Data</v>
      </c>
      <c r="P32" t="str">
        <f>'D-RP-1'!P$2</f>
        <v>Uncalculated</v>
      </c>
      <c r="Q32">
        <f t="shared" si="0"/>
        <v>0</v>
      </c>
      <c r="R32">
        <f t="shared" si="1"/>
        <v>0</v>
      </c>
      <c r="S32" t="s">
        <v>2011</v>
      </c>
      <c r="T32">
        <v>2015</v>
      </c>
      <c r="U32" s="588">
        <f>Q11a_FTE_Total_2015</f>
        <v>0</v>
      </c>
      <c r="V32" s="623">
        <v>1</v>
      </c>
    </row>
    <row r="33" spans="1:27">
      <c r="A33">
        <f>'D-RP-1'!A$2</f>
        <v>0</v>
      </c>
      <c r="B33">
        <f>'D-RP-1'!B$2</f>
        <v>0</v>
      </c>
      <c r="C33">
        <f>'D-RP-1'!C$2</f>
        <v>0</v>
      </c>
      <c r="D33">
        <f>'D-RP-1'!D$2</f>
        <v>0</v>
      </c>
      <c r="E33">
        <f>'D-RP-1'!E$2</f>
        <v>0</v>
      </c>
      <c r="F33">
        <f>'D-RP-1'!F$2</f>
        <v>0</v>
      </c>
      <c r="G33">
        <f>'D-RP-1'!G$2</f>
        <v>0</v>
      </c>
      <c r="H33">
        <f>'D-RP-1'!H$2</f>
        <v>0</v>
      </c>
      <c r="I33">
        <f>'D-RP-1'!I$2</f>
        <v>0</v>
      </c>
      <c r="J33">
        <f>'D-RP-1'!J$2</f>
        <v>0</v>
      </c>
      <c r="K33">
        <f>'D-RP-1'!K$2</f>
        <v>0</v>
      </c>
      <c r="L33" t="str">
        <f>'D-RP-1'!L$2</f>
        <v>No Sales</v>
      </c>
      <c r="M33">
        <f>'D-RP-1'!M$2</f>
        <v>0</v>
      </c>
      <c r="N33" t="str">
        <f>'D-RP-1'!N$2</f>
        <v>Insufficient Data</v>
      </c>
      <c r="O33" t="str">
        <f>'D-RP-1'!O$2</f>
        <v>Insufficient Data</v>
      </c>
      <c r="P33" t="str">
        <f>'D-RP-1'!P$2</f>
        <v>Uncalculated</v>
      </c>
      <c r="Q33">
        <f t="shared" si="0"/>
        <v>0</v>
      </c>
      <c r="R33">
        <f t="shared" si="1"/>
        <v>0</v>
      </c>
      <c r="S33" t="s">
        <v>2012</v>
      </c>
      <c r="T33">
        <v>2015</v>
      </c>
      <c r="U33" s="597">
        <f>U32*V33</f>
        <v>0</v>
      </c>
      <c r="V33" s="623">
        <f>Q11a_FTE_AdminPct_2015</f>
        <v>0</v>
      </c>
      <c r="AA33" s="588"/>
    </row>
    <row r="34" spans="1:27">
      <c r="A34">
        <f>'D-RP-1'!A$2</f>
        <v>0</v>
      </c>
      <c r="B34">
        <f>'D-RP-1'!B$2</f>
        <v>0</v>
      </c>
      <c r="C34">
        <f>'D-RP-1'!C$2</f>
        <v>0</v>
      </c>
      <c r="D34">
        <f>'D-RP-1'!D$2</f>
        <v>0</v>
      </c>
      <c r="E34">
        <f>'D-RP-1'!E$2</f>
        <v>0</v>
      </c>
      <c r="F34">
        <f>'D-RP-1'!F$2</f>
        <v>0</v>
      </c>
      <c r="G34">
        <f>'D-RP-1'!G$2</f>
        <v>0</v>
      </c>
      <c r="H34">
        <f>'D-RP-1'!H$2</f>
        <v>0</v>
      </c>
      <c r="I34">
        <f>'D-RP-1'!I$2</f>
        <v>0</v>
      </c>
      <c r="J34">
        <f>'D-RP-1'!J$2</f>
        <v>0</v>
      </c>
      <c r="K34">
        <f>'D-RP-1'!K$2</f>
        <v>0</v>
      </c>
      <c r="L34" t="str">
        <f>'D-RP-1'!L$2</f>
        <v>No Sales</v>
      </c>
      <c r="M34">
        <f>'D-RP-1'!M$2</f>
        <v>0</v>
      </c>
      <c r="N34" t="str">
        <f>'D-RP-1'!N$2</f>
        <v>Insufficient Data</v>
      </c>
      <c r="O34" t="str">
        <f>'D-RP-1'!O$2</f>
        <v>Insufficient Data</v>
      </c>
      <c r="P34" t="str">
        <f>'D-RP-1'!P$2</f>
        <v>Uncalculated</v>
      </c>
      <c r="Q34">
        <f t="shared" si="0"/>
        <v>0</v>
      </c>
      <c r="R34">
        <f t="shared" si="1"/>
        <v>0</v>
      </c>
      <c r="S34" t="s">
        <v>2013</v>
      </c>
      <c r="T34">
        <v>2015</v>
      </c>
      <c r="U34" s="597">
        <f>U32*V34</f>
        <v>0</v>
      </c>
      <c r="V34" s="623">
        <f>Q11a_FTE_SciencePct_2015</f>
        <v>0</v>
      </c>
      <c r="AA34" s="588"/>
    </row>
    <row r="35" spans="1:27">
      <c r="A35">
        <f>'D-RP-1'!A$2</f>
        <v>0</v>
      </c>
      <c r="B35">
        <f>'D-RP-1'!B$2</f>
        <v>0</v>
      </c>
      <c r="C35">
        <f>'D-RP-1'!C$2</f>
        <v>0</v>
      </c>
      <c r="D35">
        <f>'D-RP-1'!D$2</f>
        <v>0</v>
      </c>
      <c r="E35">
        <f>'D-RP-1'!E$2</f>
        <v>0</v>
      </c>
      <c r="F35">
        <f>'D-RP-1'!F$2</f>
        <v>0</v>
      </c>
      <c r="G35">
        <f>'D-RP-1'!G$2</f>
        <v>0</v>
      </c>
      <c r="H35">
        <f>'D-RP-1'!H$2</f>
        <v>0</v>
      </c>
      <c r="I35">
        <f>'D-RP-1'!I$2</f>
        <v>0</v>
      </c>
      <c r="J35">
        <f>'D-RP-1'!J$2</f>
        <v>0</v>
      </c>
      <c r="K35">
        <f>'D-RP-1'!K$2</f>
        <v>0</v>
      </c>
      <c r="L35" t="str">
        <f>'D-RP-1'!L$2</f>
        <v>No Sales</v>
      </c>
      <c r="M35">
        <f>'D-RP-1'!M$2</f>
        <v>0</v>
      </c>
      <c r="N35" t="str">
        <f>'D-RP-1'!N$2</f>
        <v>Insufficient Data</v>
      </c>
      <c r="O35" t="str">
        <f>'D-RP-1'!O$2</f>
        <v>Insufficient Data</v>
      </c>
      <c r="P35" t="str">
        <f>'D-RP-1'!P$2</f>
        <v>Uncalculated</v>
      </c>
      <c r="Q35">
        <f t="shared" si="0"/>
        <v>0</v>
      </c>
      <c r="R35">
        <f t="shared" si="1"/>
        <v>0</v>
      </c>
      <c r="S35" t="s">
        <v>2014</v>
      </c>
      <c r="T35">
        <v>2015</v>
      </c>
      <c r="U35" s="597">
        <f>U32*V35</f>
        <v>0</v>
      </c>
      <c r="V35" s="623">
        <f>Q11a_FTE_FacilitiesPct_2015</f>
        <v>0</v>
      </c>
      <c r="AA35" s="588"/>
    </row>
    <row r="36" spans="1:27">
      <c r="A36">
        <f>'D-RP-1'!A$2</f>
        <v>0</v>
      </c>
      <c r="B36">
        <f>'D-RP-1'!B$2</f>
        <v>0</v>
      </c>
      <c r="C36">
        <f>'D-RP-1'!C$2</f>
        <v>0</v>
      </c>
      <c r="D36">
        <f>'D-RP-1'!D$2</f>
        <v>0</v>
      </c>
      <c r="E36">
        <f>'D-RP-1'!E$2</f>
        <v>0</v>
      </c>
      <c r="F36">
        <f>'D-RP-1'!F$2</f>
        <v>0</v>
      </c>
      <c r="G36">
        <f>'D-RP-1'!G$2</f>
        <v>0</v>
      </c>
      <c r="H36">
        <f>'D-RP-1'!H$2</f>
        <v>0</v>
      </c>
      <c r="I36">
        <f>'D-RP-1'!I$2</f>
        <v>0</v>
      </c>
      <c r="J36">
        <f>'D-RP-1'!J$2</f>
        <v>0</v>
      </c>
      <c r="K36">
        <f>'D-RP-1'!K$2</f>
        <v>0</v>
      </c>
      <c r="L36" t="str">
        <f>'D-RP-1'!L$2</f>
        <v>No Sales</v>
      </c>
      <c r="M36">
        <f>'D-RP-1'!M$2</f>
        <v>0</v>
      </c>
      <c r="N36" t="str">
        <f>'D-RP-1'!N$2</f>
        <v>Insufficient Data</v>
      </c>
      <c r="O36" t="str">
        <f>'D-RP-1'!O$2</f>
        <v>Insufficient Data</v>
      </c>
      <c r="P36" t="str">
        <f>'D-RP-1'!P$2</f>
        <v>Uncalculated</v>
      </c>
      <c r="Q36">
        <f t="shared" si="0"/>
        <v>0</v>
      </c>
      <c r="R36">
        <f t="shared" si="1"/>
        <v>0</v>
      </c>
      <c r="S36" t="s">
        <v>2015</v>
      </c>
      <c r="T36">
        <v>2015</v>
      </c>
      <c r="U36" s="597">
        <f>U32*V36</f>
        <v>0</v>
      </c>
      <c r="V36" s="623">
        <f>Q11a_FTE_ITPct_2015</f>
        <v>0</v>
      </c>
    </row>
    <row r="37" spans="1:27">
      <c r="A37">
        <f>'D-RP-1'!A$2</f>
        <v>0</v>
      </c>
      <c r="B37">
        <f>'D-RP-1'!B$2</f>
        <v>0</v>
      </c>
      <c r="C37">
        <f>'D-RP-1'!C$2</f>
        <v>0</v>
      </c>
      <c r="D37">
        <f>'D-RP-1'!D$2</f>
        <v>0</v>
      </c>
      <c r="E37">
        <f>'D-RP-1'!E$2</f>
        <v>0</v>
      </c>
      <c r="F37">
        <f>'D-RP-1'!F$2</f>
        <v>0</v>
      </c>
      <c r="G37">
        <f>'D-RP-1'!G$2</f>
        <v>0</v>
      </c>
      <c r="H37">
        <f>'D-RP-1'!H$2</f>
        <v>0</v>
      </c>
      <c r="I37">
        <f>'D-RP-1'!I$2</f>
        <v>0</v>
      </c>
      <c r="J37">
        <f>'D-RP-1'!J$2</f>
        <v>0</v>
      </c>
      <c r="K37">
        <f>'D-RP-1'!K$2</f>
        <v>0</v>
      </c>
      <c r="L37" t="str">
        <f>'D-RP-1'!L$2</f>
        <v>No Sales</v>
      </c>
      <c r="M37">
        <f>'D-RP-1'!M$2</f>
        <v>0</v>
      </c>
      <c r="N37" t="str">
        <f>'D-RP-1'!N$2</f>
        <v>Insufficient Data</v>
      </c>
      <c r="O37" t="str">
        <f>'D-RP-1'!O$2</f>
        <v>Insufficient Data</v>
      </c>
      <c r="P37" t="str">
        <f>'D-RP-1'!P$2</f>
        <v>Uncalculated</v>
      </c>
      <c r="Q37">
        <f t="shared" si="0"/>
        <v>0</v>
      </c>
      <c r="R37">
        <f t="shared" si="1"/>
        <v>0</v>
      </c>
      <c r="S37" t="s">
        <v>2016</v>
      </c>
      <c r="T37">
        <v>2015</v>
      </c>
      <c r="U37" s="597">
        <f>U32*V37</f>
        <v>0</v>
      </c>
      <c r="V37" s="623">
        <f>Q11a_FTE_SalesPct_2015</f>
        <v>0</v>
      </c>
      <c r="AA37" s="588"/>
    </row>
    <row r="38" spans="1:27">
      <c r="A38">
        <f>'D-RP-1'!A$2</f>
        <v>0</v>
      </c>
      <c r="B38">
        <f>'D-RP-1'!B$2</f>
        <v>0</v>
      </c>
      <c r="C38">
        <f>'D-RP-1'!C$2</f>
        <v>0</v>
      </c>
      <c r="D38">
        <f>'D-RP-1'!D$2</f>
        <v>0</v>
      </c>
      <c r="E38">
        <f>'D-RP-1'!E$2</f>
        <v>0</v>
      </c>
      <c r="F38">
        <f>'D-RP-1'!F$2</f>
        <v>0</v>
      </c>
      <c r="G38">
        <f>'D-RP-1'!G$2</f>
        <v>0</v>
      </c>
      <c r="H38">
        <f>'D-RP-1'!H$2</f>
        <v>0</v>
      </c>
      <c r="I38">
        <f>'D-RP-1'!I$2</f>
        <v>0</v>
      </c>
      <c r="J38">
        <f>'D-RP-1'!J$2</f>
        <v>0</v>
      </c>
      <c r="K38">
        <f>'D-RP-1'!K$2</f>
        <v>0</v>
      </c>
      <c r="L38" t="str">
        <f>'D-RP-1'!L$2</f>
        <v>No Sales</v>
      </c>
      <c r="M38">
        <f>'D-RP-1'!M$2</f>
        <v>0</v>
      </c>
      <c r="N38" t="str">
        <f>'D-RP-1'!N$2</f>
        <v>Insufficient Data</v>
      </c>
      <c r="O38" t="str">
        <f>'D-RP-1'!O$2</f>
        <v>Insufficient Data</v>
      </c>
      <c r="P38" t="str">
        <f>'D-RP-1'!P$2</f>
        <v>Uncalculated</v>
      </c>
      <c r="Q38">
        <f t="shared" si="0"/>
        <v>0</v>
      </c>
      <c r="R38">
        <f t="shared" si="1"/>
        <v>0</v>
      </c>
      <c r="S38" t="s">
        <v>2017</v>
      </c>
      <c r="T38">
        <v>2015</v>
      </c>
      <c r="U38" s="597">
        <f>U32*V38</f>
        <v>0</v>
      </c>
      <c r="V38" s="623">
        <f>Q11a_FTE_ProductionPct_2015</f>
        <v>0</v>
      </c>
      <c r="AA38" s="588"/>
    </row>
    <row r="39" spans="1:27">
      <c r="A39">
        <f>'D-RP-1'!A$2</f>
        <v>0</v>
      </c>
      <c r="B39">
        <f>'D-RP-1'!B$2</f>
        <v>0</v>
      </c>
      <c r="C39">
        <f>'D-RP-1'!C$2</f>
        <v>0</v>
      </c>
      <c r="D39">
        <f>'D-RP-1'!D$2</f>
        <v>0</v>
      </c>
      <c r="E39">
        <f>'D-RP-1'!E$2</f>
        <v>0</v>
      </c>
      <c r="F39">
        <f>'D-RP-1'!F$2</f>
        <v>0</v>
      </c>
      <c r="G39">
        <f>'D-RP-1'!G$2</f>
        <v>0</v>
      </c>
      <c r="H39">
        <f>'D-RP-1'!H$2</f>
        <v>0</v>
      </c>
      <c r="I39">
        <f>'D-RP-1'!I$2</f>
        <v>0</v>
      </c>
      <c r="J39">
        <f>'D-RP-1'!J$2</f>
        <v>0</v>
      </c>
      <c r="K39">
        <f>'D-RP-1'!K$2</f>
        <v>0</v>
      </c>
      <c r="L39" t="str">
        <f>'D-RP-1'!L$2</f>
        <v>No Sales</v>
      </c>
      <c r="M39">
        <f>'D-RP-1'!M$2</f>
        <v>0</v>
      </c>
      <c r="N39" t="str">
        <f>'D-RP-1'!N$2</f>
        <v>Insufficient Data</v>
      </c>
      <c r="O39" t="str">
        <f>'D-RP-1'!O$2</f>
        <v>Insufficient Data</v>
      </c>
      <c r="P39" t="str">
        <f>'D-RP-1'!P$2</f>
        <v>Uncalculated</v>
      </c>
      <c r="Q39">
        <f t="shared" si="0"/>
        <v>0</v>
      </c>
      <c r="R39">
        <f t="shared" si="1"/>
        <v>0</v>
      </c>
      <c r="S39" t="s">
        <v>2018</v>
      </c>
      <c r="T39">
        <v>2015</v>
      </c>
      <c r="U39" s="597">
        <f>U32*V39</f>
        <v>0</v>
      </c>
      <c r="V39" s="623">
        <f>Q11a_FTE_QCPct_2015</f>
        <v>0</v>
      </c>
      <c r="AA39" s="588"/>
    </row>
    <row r="40" spans="1:27">
      <c r="A40">
        <f>'D-RP-1'!A$2</f>
        <v>0</v>
      </c>
      <c r="B40">
        <f>'D-RP-1'!B$2</f>
        <v>0</v>
      </c>
      <c r="C40">
        <f>'D-RP-1'!C$2</f>
        <v>0</v>
      </c>
      <c r="D40">
        <f>'D-RP-1'!D$2</f>
        <v>0</v>
      </c>
      <c r="E40">
        <f>'D-RP-1'!E$2</f>
        <v>0</v>
      </c>
      <c r="F40">
        <f>'D-RP-1'!F$2</f>
        <v>0</v>
      </c>
      <c r="G40">
        <f>'D-RP-1'!G$2</f>
        <v>0</v>
      </c>
      <c r="H40">
        <f>'D-RP-1'!H$2</f>
        <v>0</v>
      </c>
      <c r="I40">
        <f>'D-RP-1'!I$2</f>
        <v>0</v>
      </c>
      <c r="J40">
        <f>'D-RP-1'!J$2</f>
        <v>0</v>
      </c>
      <c r="K40">
        <f>'D-RP-1'!K$2</f>
        <v>0</v>
      </c>
      <c r="L40" t="str">
        <f>'D-RP-1'!L$2</f>
        <v>No Sales</v>
      </c>
      <c r="M40">
        <f>'D-RP-1'!M$2</f>
        <v>0</v>
      </c>
      <c r="N40" t="str">
        <f>'D-RP-1'!N$2</f>
        <v>Insufficient Data</v>
      </c>
      <c r="O40" t="str">
        <f>'D-RP-1'!O$2</f>
        <v>Insufficient Data</v>
      </c>
      <c r="P40" t="str">
        <f>'D-RP-1'!P$2</f>
        <v>Uncalculated</v>
      </c>
      <c r="Q40">
        <f t="shared" si="0"/>
        <v>0</v>
      </c>
      <c r="R40">
        <f t="shared" si="1"/>
        <v>0</v>
      </c>
      <c r="S40">
        <f>'11a'!F46</f>
        <v>0</v>
      </c>
      <c r="T40">
        <v>2015</v>
      </c>
      <c r="U40" s="597">
        <f>U32*V40</f>
        <v>0</v>
      </c>
      <c r="V40" s="623">
        <f>Q11a_FTE_Other1Pct_2015</f>
        <v>0</v>
      </c>
    </row>
    <row r="41" spans="1:27">
      <c r="A41">
        <f>'D-RP-1'!A$2</f>
        <v>0</v>
      </c>
      <c r="B41">
        <f>'D-RP-1'!B$2</f>
        <v>0</v>
      </c>
      <c r="C41">
        <f>'D-RP-1'!C$2</f>
        <v>0</v>
      </c>
      <c r="D41">
        <f>'D-RP-1'!D$2</f>
        <v>0</v>
      </c>
      <c r="E41">
        <f>'D-RP-1'!E$2</f>
        <v>0</v>
      </c>
      <c r="F41">
        <f>'D-RP-1'!F$2</f>
        <v>0</v>
      </c>
      <c r="G41">
        <f>'D-RP-1'!G$2</f>
        <v>0</v>
      </c>
      <c r="H41">
        <f>'D-RP-1'!H$2</f>
        <v>0</v>
      </c>
      <c r="I41">
        <f>'D-RP-1'!I$2</f>
        <v>0</v>
      </c>
      <c r="J41">
        <f>'D-RP-1'!J$2</f>
        <v>0</v>
      </c>
      <c r="K41">
        <f>'D-RP-1'!K$2</f>
        <v>0</v>
      </c>
      <c r="L41" t="str">
        <f>'D-RP-1'!L$2</f>
        <v>No Sales</v>
      </c>
      <c r="M41">
        <f>'D-RP-1'!M$2</f>
        <v>0</v>
      </c>
      <c r="N41" t="str">
        <f>'D-RP-1'!N$2</f>
        <v>Insufficient Data</v>
      </c>
      <c r="O41" t="str">
        <f>'D-RP-1'!O$2</f>
        <v>Insufficient Data</v>
      </c>
      <c r="P41" t="str">
        <f>'D-RP-1'!P$2</f>
        <v>Uncalculated</v>
      </c>
      <c r="Q41">
        <f t="shared" si="0"/>
        <v>0</v>
      </c>
      <c r="R41">
        <f t="shared" si="1"/>
        <v>0</v>
      </c>
      <c r="S41">
        <f>'11a'!F47</f>
        <v>0</v>
      </c>
      <c r="T41">
        <v>2015</v>
      </c>
      <c r="U41" s="597">
        <f>U32*V41</f>
        <v>0</v>
      </c>
      <c r="V41" s="623">
        <f>Q11a_FTE_Other2Pct_2015</f>
        <v>0</v>
      </c>
      <c r="AA41" s="588"/>
    </row>
    <row r="42" spans="1:27">
      <c r="AA42" s="588"/>
    </row>
    <row r="43" spans="1:27">
      <c r="AA43" s="588"/>
    </row>
    <row r="45" spans="1:27">
      <c r="AA45" s="588"/>
    </row>
    <row r="46" spans="1:27">
      <c r="AA46" s="588"/>
    </row>
    <row r="47" spans="1:27">
      <c r="AA47" s="588"/>
    </row>
    <row r="49" spans="27:27">
      <c r="AA49" s="588"/>
    </row>
    <row r="50" spans="27:27">
      <c r="AA50" s="588"/>
    </row>
    <row r="51" spans="27:27">
      <c r="AA51" s="588"/>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zoomScale="85" zoomScaleNormal="85" workbookViewId="0">
      <selection activeCell="A2" sqref="A2:P2"/>
    </sheetView>
  </sheetViews>
  <sheetFormatPr defaultRowHeight="15"/>
  <cols>
    <col min="17" max="17" width="30.42578125" bestFit="1" customWidth="1"/>
  </cols>
  <sheetData>
    <row r="1" spans="1:23">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591" t="s">
        <v>510</v>
      </c>
      <c r="R1" t="s">
        <v>945</v>
      </c>
      <c r="S1" t="s">
        <v>497</v>
      </c>
      <c r="T1" t="s">
        <v>2020</v>
      </c>
      <c r="U1" t="s">
        <v>2022</v>
      </c>
      <c r="V1" t="s">
        <v>2021</v>
      </c>
      <c r="W1" t="s">
        <v>2023</v>
      </c>
    </row>
    <row r="2" spans="1:23">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t="s">
        <v>2024</v>
      </c>
      <c r="R2" t="s">
        <v>429</v>
      </c>
      <c r="S2" t="s">
        <v>429</v>
      </c>
      <c r="T2">
        <f>Q11b_B_Over20_Count</f>
        <v>0</v>
      </c>
      <c r="U2">
        <f>Q11b_B_11to20_Count</f>
        <v>0</v>
      </c>
      <c r="V2">
        <f>Q11b_B_6to10_Count</f>
        <v>0</v>
      </c>
      <c r="W2">
        <f>Q11b_B_Under5_Count</f>
        <v>0</v>
      </c>
    </row>
    <row r="3" spans="1:23">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t="s">
        <v>2025</v>
      </c>
      <c r="R3" t="s">
        <v>429</v>
      </c>
      <c r="S3" t="s">
        <v>429</v>
      </c>
      <c r="T3">
        <f>Q11b_B_Over20_PctUS</f>
        <v>0</v>
      </c>
      <c r="U3">
        <f>Q11b_B_11to20_PctUS</f>
        <v>0</v>
      </c>
      <c r="V3">
        <f>Q11b_B_6to10_PctUS</f>
        <v>0</v>
      </c>
      <c r="W3">
        <f>Q11b_B_Under5_PctUS</f>
        <v>0</v>
      </c>
    </row>
    <row r="4" spans="1:23">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t="s">
        <v>2026</v>
      </c>
      <c r="R4" t="s">
        <v>429</v>
      </c>
      <c r="S4" t="s">
        <v>429</v>
      </c>
      <c r="T4">
        <f>T2*T3</f>
        <v>0</v>
      </c>
      <c r="U4">
        <f>U2*U3</f>
        <v>0</v>
      </c>
      <c r="V4">
        <f>V2*V3</f>
        <v>0</v>
      </c>
      <c r="W4">
        <f>W2*W3</f>
        <v>0</v>
      </c>
    </row>
    <row r="5" spans="1:23">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t="s">
        <v>807</v>
      </c>
      <c r="R5">
        <f>'11a'!F21</f>
        <v>0</v>
      </c>
      <c r="S5">
        <f>'11a'!H21</f>
        <v>0</v>
      </c>
      <c r="T5" s="624">
        <f>'11b'!F14</f>
        <v>0</v>
      </c>
      <c r="U5" s="624">
        <f>'11b'!H14</f>
        <v>0</v>
      </c>
      <c r="V5" s="624">
        <f>'11b'!J14</f>
        <v>0</v>
      </c>
      <c r="W5" s="624">
        <f>'11b'!L14</f>
        <v>0</v>
      </c>
    </row>
    <row r="6" spans="1:23">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t="s">
        <v>808</v>
      </c>
      <c r="R6">
        <f>'11a'!F22</f>
        <v>0</v>
      </c>
      <c r="S6">
        <f>'11a'!H22</f>
        <v>0</v>
      </c>
      <c r="T6" s="624">
        <f>'11b'!F15</f>
        <v>0</v>
      </c>
      <c r="U6" s="624">
        <f>'11b'!H15</f>
        <v>0</v>
      </c>
      <c r="V6" s="624">
        <f>'11b'!J15</f>
        <v>0</v>
      </c>
      <c r="W6" s="624">
        <f>'11b'!L15</f>
        <v>0</v>
      </c>
    </row>
    <row r="7" spans="1:23">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t="s">
        <v>946</v>
      </c>
      <c r="R7">
        <f>'11a'!F23</f>
        <v>0</v>
      </c>
      <c r="S7">
        <f>'11a'!H23</f>
        <v>0</v>
      </c>
      <c r="T7" s="624">
        <f>'11b'!F16</f>
        <v>0</v>
      </c>
      <c r="U7" s="624">
        <f>'11b'!H16</f>
        <v>0</v>
      </c>
      <c r="V7" s="624">
        <f>'11b'!J16</f>
        <v>0</v>
      </c>
      <c r="W7" s="624">
        <f>'11b'!L16</f>
        <v>0</v>
      </c>
    </row>
    <row r="8" spans="1:23">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t="s">
        <v>947</v>
      </c>
      <c r="R8">
        <f>'11a'!F24</f>
        <v>0</v>
      </c>
      <c r="S8">
        <f>'11a'!H24</f>
        <v>0</v>
      </c>
      <c r="T8" s="624">
        <f>'11b'!F17</f>
        <v>0</v>
      </c>
      <c r="U8" s="624">
        <f>'11b'!H17</f>
        <v>0</v>
      </c>
      <c r="V8" s="624">
        <f>'11b'!J17</f>
        <v>0</v>
      </c>
      <c r="W8" s="624">
        <f>'11b'!L17</f>
        <v>0</v>
      </c>
    </row>
    <row r="9" spans="1:23">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t="s">
        <v>809</v>
      </c>
      <c r="R9">
        <f>'11a'!F25</f>
        <v>0</v>
      </c>
      <c r="S9">
        <f>'11a'!H25</f>
        <v>0</v>
      </c>
      <c r="T9" s="624">
        <f>'11b'!F18</f>
        <v>0</v>
      </c>
      <c r="U9" s="624">
        <f>'11b'!H18</f>
        <v>0</v>
      </c>
      <c r="V9" s="624">
        <f>'11b'!J18</f>
        <v>0</v>
      </c>
      <c r="W9" s="624">
        <f>'11b'!L18</f>
        <v>0</v>
      </c>
    </row>
    <row r="10" spans="1:23">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t="s">
        <v>810</v>
      </c>
      <c r="R10">
        <f>'11a'!F26</f>
        <v>0</v>
      </c>
      <c r="S10">
        <f>'11a'!H26</f>
        <v>0</v>
      </c>
      <c r="T10" s="624">
        <f>'11b'!F19</f>
        <v>0</v>
      </c>
      <c r="U10" s="624">
        <f>'11b'!H19</f>
        <v>0</v>
      </c>
      <c r="V10" s="624">
        <f>'11b'!J19</f>
        <v>0</v>
      </c>
      <c r="W10" s="624">
        <f>'11b'!L19</f>
        <v>0</v>
      </c>
    </row>
    <row r="11" spans="1:23">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t="s">
        <v>811</v>
      </c>
      <c r="R11">
        <f>'11a'!F27</f>
        <v>0</v>
      </c>
      <c r="S11">
        <f>'11a'!H27</f>
        <v>0</v>
      </c>
      <c r="T11" s="624">
        <f>'11b'!F20</f>
        <v>0</v>
      </c>
      <c r="U11" s="624">
        <f>'11b'!H20</f>
        <v>0</v>
      </c>
      <c r="V11" s="624">
        <f>'11b'!J20</f>
        <v>0</v>
      </c>
      <c r="W11" s="624">
        <f>'11b'!L20</f>
        <v>0</v>
      </c>
    </row>
    <row r="12" spans="1:23">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t="s">
        <v>1282</v>
      </c>
      <c r="R12">
        <f>'11a'!F28</f>
        <v>0</v>
      </c>
      <c r="S12">
        <f>'11a'!H28</f>
        <v>0</v>
      </c>
      <c r="T12" s="624">
        <f>'11b'!F21</f>
        <v>0</v>
      </c>
      <c r="U12" s="624">
        <f>'11b'!H21</f>
        <v>0</v>
      </c>
      <c r="V12" s="624">
        <f>'11b'!J21</f>
        <v>0</v>
      </c>
      <c r="W12" s="624">
        <f>'11b'!L21</f>
        <v>0</v>
      </c>
    </row>
    <row r="13" spans="1:23">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t="s">
        <v>1283</v>
      </c>
      <c r="R13">
        <f>'11a'!F29</f>
        <v>0</v>
      </c>
      <c r="S13">
        <f>'11a'!H29</f>
        <v>0</v>
      </c>
      <c r="T13" s="624">
        <f>'11b'!F22</f>
        <v>0</v>
      </c>
      <c r="U13" s="624">
        <f>'11b'!H22</f>
        <v>0</v>
      </c>
      <c r="V13" s="624">
        <f>'11b'!J22</f>
        <v>0</v>
      </c>
      <c r="W13" s="624">
        <f>'11b'!L22</f>
        <v>0</v>
      </c>
    </row>
    <row r="14" spans="1:23">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t="s">
        <v>812</v>
      </c>
      <c r="R14">
        <f>'11a'!F30</f>
        <v>0</v>
      </c>
      <c r="S14">
        <f>'11a'!H30</f>
        <v>0</v>
      </c>
      <c r="T14" s="624">
        <f>'11b'!F23</f>
        <v>0</v>
      </c>
      <c r="U14" s="624">
        <f>'11b'!H23</f>
        <v>0</v>
      </c>
      <c r="V14" s="624">
        <f>'11b'!J23</f>
        <v>0</v>
      </c>
      <c r="W14" s="624">
        <f>'11b'!L23</f>
        <v>0</v>
      </c>
    </row>
    <row r="15" spans="1:23">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t="s">
        <v>813</v>
      </c>
      <c r="R15">
        <f>'11a'!F31</f>
        <v>0</v>
      </c>
      <c r="S15">
        <f>'11a'!H31</f>
        <v>0</v>
      </c>
      <c r="T15" s="624">
        <f>'11b'!F24</f>
        <v>0</v>
      </c>
      <c r="U15" s="624">
        <f>'11b'!H24</f>
        <v>0</v>
      </c>
      <c r="V15" s="624">
        <f>'11b'!J24</f>
        <v>0</v>
      </c>
      <c r="W15" s="624">
        <f>'11b'!L24</f>
        <v>0</v>
      </c>
    </row>
    <row r="16" spans="1:23">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t="s">
        <v>814</v>
      </c>
      <c r="R16">
        <f>'11a'!F32</f>
        <v>0</v>
      </c>
      <c r="S16">
        <f>'11a'!H32</f>
        <v>0</v>
      </c>
      <c r="T16" s="624">
        <f>'11b'!F25</f>
        <v>0</v>
      </c>
      <c r="U16" s="624">
        <f>'11b'!H25</f>
        <v>0</v>
      </c>
      <c r="V16" s="624">
        <f>'11b'!J25</f>
        <v>0</v>
      </c>
      <c r="W16" s="624">
        <f>'11b'!L25</f>
        <v>0</v>
      </c>
    </row>
    <row r="17" spans="1:23">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t="s">
        <v>815</v>
      </c>
      <c r="R17">
        <f>'11a'!F33</f>
        <v>0</v>
      </c>
      <c r="S17">
        <f>'11a'!H33</f>
        <v>0</v>
      </c>
      <c r="T17" s="624">
        <f>'11b'!F26</f>
        <v>0</v>
      </c>
      <c r="U17" s="624">
        <f>'11b'!H26</f>
        <v>0</v>
      </c>
      <c r="V17" s="624">
        <f>'11b'!J26</f>
        <v>0</v>
      </c>
      <c r="W17" s="624">
        <f>'11b'!L26</f>
        <v>0</v>
      </c>
    </row>
    <row r="18" spans="1:23">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t="s">
        <v>816</v>
      </c>
      <c r="R18">
        <f>'11a'!F34</f>
        <v>0</v>
      </c>
      <c r="S18">
        <f>'11a'!H34</f>
        <v>0</v>
      </c>
      <c r="T18" s="624">
        <f>'11b'!F27</f>
        <v>0</v>
      </c>
      <c r="U18" s="624">
        <f>'11b'!H27</f>
        <v>0</v>
      </c>
      <c r="V18" s="624">
        <f>'11b'!J27</f>
        <v>0</v>
      </c>
      <c r="W18" s="624">
        <f>'11b'!L27</f>
        <v>0</v>
      </c>
    </row>
    <row r="19" spans="1:23">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t="s">
        <v>817</v>
      </c>
      <c r="R19">
        <f>'11a'!F35</f>
        <v>0</v>
      </c>
      <c r="S19">
        <f>'11a'!H35</f>
        <v>0</v>
      </c>
      <c r="T19" s="624">
        <f>'11b'!F28</f>
        <v>0</v>
      </c>
      <c r="U19" s="624">
        <f>'11b'!H28</f>
        <v>0</v>
      </c>
      <c r="V19" s="624">
        <f>'11b'!J28</f>
        <v>0</v>
      </c>
      <c r="W19" s="624">
        <f>'11b'!L28</f>
        <v>0</v>
      </c>
    </row>
    <row r="20" spans="1:23">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t="s">
        <v>818</v>
      </c>
      <c r="R20">
        <f>'11a'!F36</f>
        <v>0</v>
      </c>
      <c r="S20">
        <f>'11a'!H36</f>
        <v>0</v>
      </c>
      <c r="T20" s="624">
        <f>'11b'!F29</f>
        <v>0</v>
      </c>
      <c r="U20" s="624">
        <f>'11b'!H29</f>
        <v>0</v>
      </c>
      <c r="V20" s="624">
        <f>'11b'!J29</f>
        <v>0</v>
      </c>
      <c r="W20" s="624">
        <f>'11b'!L29</f>
        <v>0</v>
      </c>
    </row>
    <row r="21" spans="1:23">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t="s">
        <v>819</v>
      </c>
      <c r="R21">
        <f>'11a'!F37</f>
        <v>0</v>
      </c>
      <c r="S21">
        <f>'11a'!H37</f>
        <v>0</v>
      </c>
      <c r="T21" s="624">
        <f>'11b'!F30</f>
        <v>0</v>
      </c>
      <c r="U21" s="624">
        <f>'11b'!H30</f>
        <v>0</v>
      </c>
      <c r="V21" s="624">
        <f>'11b'!J30</f>
        <v>0</v>
      </c>
      <c r="W21" s="624">
        <f>'11b'!L30</f>
        <v>0</v>
      </c>
    </row>
    <row r="22" spans="1:23">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s="591" t="str">
        <f>'11a'!E38</f>
        <v>(specify here)</v>
      </c>
      <c r="R22">
        <f>'11a'!F38</f>
        <v>0</v>
      </c>
      <c r="S22">
        <f>'11a'!H38</f>
        <v>0</v>
      </c>
      <c r="T22" t="s">
        <v>429</v>
      </c>
      <c r="U22" t="s">
        <v>429</v>
      </c>
      <c r="V22" t="s">
        <v>429</v>
      </c>
      <c r="W22" t="s">
        <v>429</v>
      </c>
    </row>
    <row r="23" spans="1:23">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s="591" t="str">
        <f>'11b'!E31</f>
        <v>(specify here)</v>
      </c>
      <c r="R23" t="s">
        <v>429</v>
      </c>
      <c r="S23" t="s">
        <v>429</v>
      </c>
      <c r="T23" s="624">
        <f>'11b'!F31</f>
        <v>0</v>
      </c>
      <c r="U23" s="624">
        <f>'11b'!H31</f>
        <v>0</v>
      </c>
      <c r="V23" s="624">
        <f>'11b'!J31</f>
        <v>0</v>
      </c>
      <c r="W23" s="624">
        <f>'11b'!L31</f>
        <v>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14"/>
  <sheetViews>
    <sheetView zoomScale="85" zoomScaleNormal="85" workbookViewId="0">
      <selection activeCell="A2" sqref="A2:P2"/>
    </sheetView>
  </sheetViews>
  <sheetFormatPr defaultRowHeight="15"/>
  <sheetData>
    <row r="1" spans="1:116">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2027</v>
      </c>
      <c r="R1" t="s">
        <v>2028</v>
      </c>
      <c r="S1" t="s">
        <v>2029</v>
      </c>
      <c r="T1" t="s">
        <v>2030</v>
      </c>
      <c r="U1" t="s">
        <v>2031</v>
      </c>
      <c r="V1" t="s">
        <v>2032</v>
      </c>
      <c r="W1" t="s">
        <v>2033</v>
      </c>
      <c r="X1" t="s">
        <v>2034</v>
      </c>
      <c r="Y1" t="s">
        <v>2035</v>
      </c>
      <c r="Z1" t="s">
        <v>2036</v>
      </c>
      <c r="AA1" t="s">
        <v>2037</v>
      </c>
      <c r="AB1" t="s">
        <v>2038</v>
      </c>
      <c r="AC1" t="s">
        <v>2039</v>
      </c>
      <c r="AD1" t="s">
        <v>2040</v>
      </c>
      <c r="AE1" t="s">
        <v>2041</v>
      </c>
      <c r="AF1" t="s">
        <v>2042</v>
      </c>
      <c r="AG1" t="s">
        <v>2043</v>
      </c>
      <c r="AH1" t="s">
        <v>2044</v>
      </c>
      <c r="AI1" t="s">
        <v>2045</v>
      </c>
      <c r="AJ1" t="s">
        <v>2046</v>
      </c>
      <c r="AK1" t="s">
        <v>2047</v>
      </c>
      <c r="AL1" t="s">
        <v>2048</v>
      </c>
      <c r="AM1" t="s">
        <v>2049</v>
      </c>
      <c r="AN1" t="s">
        <v>2050</v>
      </c>
      <c r="AO1" t="s">
        <v>2051</v>
      </c>
      <c r="AP1" t="s">
        <v>2052</v>
      </c>
      <c r="AQ1" t="s">
        <v>2053</v>
      </c>
      <c r="AR1" t="s">
        <v>2054</v>
      </c>
      <c r="AS1" t="s">
        <v>2055</v>
      </c>
      <c r="AT1" t="s">
        <v>2056</v>
      </c>
      <c r="AU1" t="s">
        <v>2057</v>
      </c>
      <c r="AV1" t="s">
        <v>2058</v>
      </c>
      <c r="AW1" t="s">
        <v>2059</v>
      </c>
      <c r="AX1" t="s">
        <v>2060</v>
      </c>
      <c r="AY1" t="s">
        <v>2061</v>
      </c>
      <c r="AZ1" t="s">
        <v>2062</v>
      </c>
      <c r="BA1" t="s">
        <v>2063</v>
      </c>
      <c r="BB1" t="s">
        <v>2064</v>
      </c>
      <c r="BC1" t="s">
        <v>2065</v>
      </c>
      <c r="BD1" t="s">
        <v>2066</v>
      </c>
      <c r="BE1" t="s">
        <v>2067</v>
      </c>
      <c r="BF1" t="s">
        <v>2068</v>
      </c>
      <c r="BG1" t="s">
        <v>2069</v>
      </c>
      <c r="BH1" t="s">
        <v>2070</v>
      </c>
      <c r="BI1" t="s">
        <v>2071</v>
      </c>
      <c r="BJ1" t="s">
        <v>2072</v>
      </c>
      <c r="BK1" t="s">
        <v>2073</v>
      </c>
      <c r="BL1" t="s">
        <v>2074</v>
      </c>
      <c r="BM1" t="s">
        <v>2075</v>
      </c>
      <c r="BN1" t="s">
        <v>2076</v>
      </c>
      <c r="BO1" t="s">
        <v>2077</v>
      </c>
      <c r="BP1" t="s">
        <v>2078</v>
      </c>
      <c r="BQ1" t="s">
        <v>2079</v>
      </c>
      <c r="BR1" t="s">
        <v>2080</v>
      </c>
      <c r="BS1" t="s">
        <v>2081</v>
      </c>
      <c r="BT1" t="s">
        <v>2082</v>
      </c>
      <c r="BU1" t="s">
        <v>2083</v>
      </c>
      <c r="BV1" t="s">
        <v>2084</v>
      </c>
      <c r="BW1" t="s">
        <v>2085</v>
      </c>
      <c r="BX1" t="s">
        <v>2086</v>
      </c>
      <c r="BY1" t="s">
        <v>2087</v>
      </c>
      <c r="BZ1" t="s">
        <v>2088</v>
      </c>
      <c r="CA1" t="s">
        <v>2089</v>
      </c>
      <c r="CB1" t="s">
        <v>2090</v>
      </c>
      <c r="CC1" t="s">
        <v>2091</v>
      </c>
      <c r="CD1" t="s">
        <v>2092</v>
      </c>
      <c r="CE1" t="s">
        <v>2093</v>
      </c>
      <c r="CF1" t="s">
        <v>2094</v>
      </c>
      <c r="CG1" t="s">
        <v>2095</v>
      </c>
      <c r="CH1" t="s">
        <v>2096</v>
      </c>
      <c r="CI1" t="s">
        <v>2097</v>
      </c>
      <c r="CJ1" t="s">
        <v>2098</v>
      </c>
      <c r="CK1" t="s">
        <v>2099</v>
      </c>
      <c r="CL1" t="s">
        <v>2100</v>
      </c>
      <c r="CM1" t="s">
        <v>2101</v>
      </c>
      <c r="CN1" t="s">
        <v>2102</v>
      </c>
      <c r="CO1" t="s">
        <v>2103</v>
      </c>
      <c r="CP1" t="s">
        <v>2104</v>
      </c>
      <c r="CQ1" t="s">
        <v>2105</v>
      </c>
      <c r="CR1" t="s">
        <v>2106</v>
      </c>
      <c r="CS1" t="s">
        <v>2107</v>
      </c>
      <c r="CT1" t="s">
        <v>2108</v>
      </c>
      <c r="CU1" t="s">
        <v>2109</v>
      </c>
      <c r="CV1" t="s">
        <v>2110</v>
      </c>
      <c r="CW1" t="s">
        <v>2111</v>
      </c>
      <c r="CX1" t="s">
        <v>2112</v>
      </c>
      <c r="CY1" t="s">
        <v>2113</v>
      </c>
      <c r="CZ1" t="s">
        <v>2114</v>
      </c>
      <c r="DA1" t="s">
        <v>2115</v>
      </c>
      <c r="DB1" t="s">
        <v>2116</v>
      </c>
      <c r="DC1" t="s">
        <v>2117</v>
      </c>
      <c r="DD1" t="s">
        <v>2118</v>
      </c>
      <c r="DE1" t="s">
        <v>2119</v>
      </c>
      <c r="DF1" t="s">
        <v>2120</v>
      </c>
      <c r="DG1" t="s">
        <v>2121</v>
      </c>
      <c r="DH1" t="s">
        <v>2122</v>
      </c>
      <c r="DI1" t="s">
        <v>2123</v>
      </c>
      <c r="DJ1" t="s">
        <v>2124</v>
      </c>
      <c r="DK1" t="s">
        <v>2125</v>
      </c>
      <c r="DL1" t="s">
        <v>2126</v>
      </c>
    </row>
    <row r="2" spans="1:116">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Q12a_A_OpsChange_Type</f>
        <v>0</v>
      </c>
      <c r="R2">
        <f>Q12a_A_OpsChange_Explain</f>
        <v>0</v>
      </c>
      <c r="S2">
        <f>Q12a_B1_EnviroAffect_YN</f>
        <v>0</v>
      </c>
      <c r="T2">
        <f>Q12a_B1_EnviroAffect_Explain</f>
        <v>0</v>
      </c>
      <c r="U2">
        <f>Q12a_B2_CeaseTL_YN</f>
        <v>0</v>
      </c>
      <c r="V2">
        <f>Q12a_B2_CeaseTL_Year</f>
        <v>0</v>
      </c>
      <c r="W2">
        <f>Q12a_B2_CeaseTL_Explain</f>
        <v>0</v>
      </c>
      <c r="X2">
        <f>Q12a_B3_EnviroInventory_YN</f>
        <v>0</v>
      </c>
      <c r="Y2">
        <f>Q12a_B3_EnviroInventory_Explain</f>
        <v>0</v>
      </c>
      <c r="Z2">
        <f>Q12a_C_Paperwork_Reduce</f>
        <v>0</v>
      </c>
      <c r="AA2">
        <f>Q12a_C_Paperwork_Cease</f>
        <v>0</v>
      </c>
      <c r="AB2">
        <f>Q12a_C_Paperwork_Explain</f>
        <v>0</v>
      </c>
      <c r="AC2">
        <f>Q12a_C_SlowPay_Reduce</f>
        <v>0</v>
      </c>
      <c r="AD2">
        <f>Q12a_C_SlowPay_Cease</f>
        <v>0</v>
      </c>
      <c r="AE2">
        <f>Q12a_C_SlowPay_Explain</f>
        <v>0</v>
      </c>
      <c r="AF2">
        <f>Q12a_C_SmallLot_Reduce</f>
        <v>0</v>
      </c>
      <c r="AG2">
        <f>Q12a_C_SmallLot_Cease</f>
        <v>0</v>
      </c>
      <c r="AH2">
        <f>Q12a_C_SmallLot_Explain</f>
        <v>0</v>
      </c>
      <c r="AI2">
        <f>Q12a_C_LowMargin_Reduce</f>
        <v>0</v>
      </c>
      <c r="AJ2">
        <f>Q12a_C_LowMargin_Cease</f>
        <v>0</v>
      </c>
      <c r="AK2">
        <f>Q12a_C_LowMargin_Explain</f>
        <v>0</v>
      </c>
      <c r="AL2">
        <f>Q12a_C_Infreq_Reduce</f>
        <v>0</v>
      </c>
      <c r="AM2">
        <f>Q12a_C_Infreq_Cease</f>
        <v>0</v>
      </c>
      <c r="AN2">
        <f>Q12a_C_Infreq_Explain</f>
        <v>0</v>
      </c>
      <c r="AO2">
        <f>Q12a_C_IP_Reduce</f>
        <v>0</v>
      </c>
      <c r="AP2">
        <f>Q12a_C_IP_Cease</f>
        <v>0</v>
      </c>
      <c r="AQ2">
        <f>Q12a_C_IP_Explain</f>
        <v>0</v>
      </c>
      <c r="AR2">
        <f>Q12a_C_OneOff_Reduce</f>
        <v>0</v>
      </c>
      <c r="AS2">
        <f>Q12a_C_OneOff_Cease</f>
        <v>0</v>
      </c>
      <c r="AT2">
        <f>Q12a_C_OneOff_Explain</f>
        <v>0</v>
      </c>
      <c r="AU2" t="str">
        <f>Q12a_C_Other_Specify</f>
        <v>(specify here)</v>
      </c>
      <c r="AV2">
        <f>Q12a_C_Other_Reduce</f>
        <v>0</v>
      </c>
      <c r="AW2">
        <f>Q12a_C_Other_Cease</f>
        <v>0</v>
      </c>
      <c r="AX2">
        <f>Q12a_C_Other_Explain</f>
        <v>0</v>
      </c>
      <c r="AY2">
        <f>Q12a_D_Direct_50884</f>
        <v>0</v>
      </c>
      <c r="AZ2">
        <f>Q12a_D_Direct_6012</f>
        <v>0</v>
      </c>
      <c r="BA2">
        <f>Q12a_D_Direct_Explain</f>
        <v>0</v>
      </c>
      <c r="BB2">
        <f>Q12a_D_Recurring_50884</f>
        <v>0</v>
      </c>
      <c r="BC2">
        <f>Q12a_D_Recurring_6012</f>
        <v>0</v>
      </c>
      <c r="BD2">
        <f>Q12a_D_Recurring_Explain</f>
        <v>0</v>
      </c>
      <c r="BE2">
        <f>Q12a_D_Admin_50884</f>
        <v>0</v>
      </c>
      <c r="BF2">
        <f>Q12a_D_Admin_6012</f>
        <v>0</v>
      </c>
      <c r="BG2">
        <f>Q12a_D_Admin_Explain</f>
        <v>0</v>
      </c>
      <c r="BH2">
        <f>Q12a_Comment</f>
        <v>0</v>
      </c>
      <c r="BI2">
        <f>Q12b_A_DepComm_Extent</f>
        <v>0</v>
      </c>
      <c r="BJ2">
        <f>Q12b_A_DepComm_Explain</f>
        <v>0</v>
      </c>
      <c r="BK2">
        <f>Q12b_A_DepUSG_Extent</f>
        <v>0</v>
      </c>
      <c r="BL2">
        <f>Q12b_A_ROI_Def</f>
        <v>0</v>
      </c>
      <c r="BM2">
        <f>Q12b_A_ROI_Comm</f>
        <v>0</v>
      </c>
      <c r="BN2">
        <f>Q12b_A_ROI_Explain</f>
        <v>0</v>
      </c>
      <c r="BO2">
        <f>Q12b_B_Consol_Level</f>
        <v>0</v>
      </c>
      <c r="BP2">
        <f>Q12b_B_Consol_Factor1</f>
        <v>0</v>
      </c>
      <c r="BQ2">
        <f>Q12b_B_Consol_Factor2</f>
        <v>0</v>
      </c>
      <c r="BR2">
        <f>Q12b_B_Consol_Factor_Explain</f>
        <v>0</v>
      </c>
      <c r="BS2">
        <f>Q12b_B_Consol_Foreign</f>
        <v>0</v>
      </c>
      <c r="BT2">
        <f>Q12b_B_Consol_Foreign_Explain</f>
        <v>0</v>
      </c>
      <c r="BU2">
        <f>Q12b_C_FewerUS_YN</f>
        <v>0</v>
      </c>
      <c r="BV2">
        <f>Q12b_C_FewerUS_Explain</f>
        <v>0</v>
      </c>
      <c r="BW2">
        <f>Q12b_C_DependNonUS_YN</f>
        <v>0</v>
      </c>
      <c r="BX2">
        <f>Q12b_C_DependNonUS_Explain</f>
        <v>0</v>
      </c>
      <c r="BY2">
        <f>Q12b_C_MatCosts_YN</f>
        <v>0</v>
      </c>
      <c r="BZ2">
        <f>Q12b_C_MatCosts_Explain</f>
        <v>0</v>
      </c>
      <c r="CA2">
        <f>Q12b_C_Pricing_YN</f>
        <v>0</v>
      </c>
      <c r="CB2">
        <f>Q12b_C_Pricing_Explain</f>
        <v>0</v>
      </c>
      <c r="CC2">
        <f>Q12b_C_SmallTrouble_YN</f>
        <v>0</v>
      </c>
      <c r="CD2">
        <f>Q12b_C_SmallTrouble_Explain</f>
        <v>0</v>
      </c>
      <c r="CE2">
        <f>Q12b_C_ReducedUS_YN</f>
        <v>0</v>
      </c>
      <c r="CF2">
        <f>Q12b_C_ReducedUS_Explain</f>
        <v>0</v>
      </c>
      <c r="CG2">
        <f>Q12b_C_Workforce_YN</f>
        <v>0</v>
      </c>
      <c r="CH2">
        <f>Q12b_C_Workforce_Explain</f>
        <v>0</v>
      </c>
      <c r="CI2">
        <f>Q12b_C_NonUSShare_YN</f>
        <v>0</v>
      </c>
      <c r="CJ2">
        <f>Q12b_C_NonUSShare_Explain</f>
        <v>0</v>
      </c>
      <c r="CK2">
        <f>Q12b_C_Prices_YN</f>
        <v>0</v>
      </c>
      <c r="CL2">
        <f>Q12b_C_Prices_Explain</f>
        <v>0</v>
      </c>
      <c r="CM2">
        <f>Q12b_C_Other1_Specify</f>
        <v>0</v>
      </c>
      <c r="CN2">
        <f>Q12b_C_Other1_YN</f>
        <v>0</v>
      </c>
      <c r="CO2">
        <f>Q12b_C_Other1_Explain</f>
        <v>0</v>
      </c>
      <c r="CP2">
        <f>Q12b_C_Other2_Specify</f>
        <v>0</v>
      </c>
      <c r="CQ2">
        <f>Q12b_C_Other2_YN</f>
        <v>0</v>
      </c>
      <c r="CR2">
        <f>Q12b_C_Other2_Explain</f>
        <v>0</v>
      </c>
      <c r="CS2">
        <f>Q12b_Comment</f>
        <v>0</v>
      </c>
      <c r="CT2">
        <f>Q12c_Funding_Impact</f>
        <v>0</v>
      </c>
      <c r="CU2">
        <f>Q12c_Funding_Explain</f>
        <v>0</v>
      </c>
      <c r="CV2">
        <f>Q12c_USMade_Impact</f>
        <v>0</v>
      </c>
      <c r="CW2">
        <f>Q12c_USMade_Explain</f>
        <v>0</v>
      </c>
      <c r="CX2">
        <f>Q12c_Stockpile_Impact</f>
        <v>0</v>
      </c>
      <c r="CY2">
        <f>Q12c_Stockpile_Explain</f>
        <v>0</v>
      </c>
      <c r="CZ2">
        <f>Q12c_USMaterial_Impact</f>
        <v>0</v>
      </c>
      <c r="DA2">
        <f>Q12c_USMaterial_Explain</f>
        <v>0</v>
      </c>
      <c r="DB2">
        <f>Q12c_Trusted_Impact</f>
        <v>0</v>
      </c>
      <c r="DC2">
        <f>Q12c_Trusted_Explain</f>
        <v>0</v>
      </c>
      <c r="DD2">
        <f>Q12c_QMLQPL_Impact</f>
        <v>0</v>
      </c>
      <c r="DE2">
        <f>Q12c_QMLQPL_Explain</f>
        <v>0</v>
      </c>
      <c r="DF2" t="str">
        <f>Q12c_Other1_Specify</f>
        <v>(specify here)</v>
      </c>
      <c r="DG2">
        <f>Q12c_Other1_Impact</f>
        <v>0</v>
      </c>
      <c r="DH2">
        <f>Q12c_Other1_Explain</f>
        <v>0</v>
      </c>
      <c r="DI2" t="str">
        <f>Q12c_Other2_Specify</f>
        <v>(specify here)</v>
      </c>
      <c r="DJ2">
        <f>Q12c_Other2_Impact</f>
        <v>0</v>
      </c>
      <c r="DK2">
        <f>Q12c_Other2_Explain</f>
        <v>0</v>
      </c>
      <c r="DL2">
        <f>Q12c_Comment</f>
        <v>0</v>
      </c>
    </row>
    <row r="15" spans="1:116">
      <c r="X15" s="588"/>
    </row>
    <row r="16" spans="1:116">
      <c r="X16" s="588"/>
    </row>
    <row r="17" spans="24:24">
      <c r="X17" s="588"/>
    </row>
    <row r="18" spans="24:24">
      <c r="X18" s="588"/>
    </row>
    <row r="19" spans="24:24">
      <c r="X19" s="588"/>
    </row>
    <row r="20" spans="24:24">
      <c r="X20" s="588"/>
    </row>
    <row r="21" spans="24:24">
      <c r="X21" s="588"/>
    </row>
    <row r="22" spans="24:24">
      <c r="X22" s="588"/>
    </row>
    <row r="23" spans="24:24">
      <c r="X23" s="588"/>
    </row>
    <row r="24" spans="24:24">
      <c r="X24" s="588"/>
    </row>
    <row r="25" spans="24:24">
      <c r="X25" s="588"/>
    </row>
    <row r="26" spans="24:24">
      <c r="X26" s="588"/>
    </row>
    <row r="27" spans="24:24">
      <c r="X27" s="588"/>
    </row>
    <row r="28" spans="24:24">
      <c r="X28" s="588"/>
    </row>
    <row r="29" spans="24:24">
      <c r="X29" s="588"/>
    </row>
    <row r="30" spans="24:24">
      <c r="X30" s="588"/>
    </row>
    <row r="31" spans="24:24">
      <c r="X31" s="588"/>
    </row>
    <row r="32" spans="24:24">
      <c r="X32" s="588"/>
    </row>
    <row r="33" spans="24:24">
      <c r="X33" s="588"/>
    </row>
    <row r="34" spans="24:24">
      <c r="X34" s="588"/>
    </row>
    <row r="35" spans="24:24">
      <c r="X35" s="588"/>
    </row>
    <row r="36" spans="24:24">
      <c r="X36" s="588"/>
    </row>
    <row r="37" spans="24:24">
      <c r="X37" s="588"/>
    </row>
    <row r="38" spans="24:24">
      <c r="X38" s="588"/>
    </row>
    <row r="39" spans="24:24">
      <c r="X39" s="588"/>
    </row>
    <row r="40" spans="24:24">
      <c r="X40" s="588"/>
    </row>
    <row r="41" spans="24:24">
      <c r="X41" s="588"/>
    </row>
    <row r="42" spans="24:24">
      <c r="X42" s="588"/>
    </row>
    <row r="43" spans="24:24">
      <c r="X43" s="588"/>
    </row>
    <row r="44" spans="24:24">
      <c r="X44" s="588"/>
    </row>
    <row r="45" spans="24:24">
      <c r="X45" s="588"/>
    </row>
    <row r="46" spans="24:24">
      <c r="X46" s="588"/>
    </row>
    <row r="47" spans="24:24">
      <c r="X47" s="588"/>
    </row>
    <row r="48" spans="24:24">
      <c r="X48" s="588"/>
    </row>
    <row r="49" spans="24:24">
      <c r="X49" s="588"/>
    </row>
    <row r="50" spans="24:24">
      <c r="X50" s="588"/>
    </row>
    <row r="51" spans="24:24">
      <c r="X51" s="588"/>
    </row>
    <row r="52" spans="24:24">
      <c r="X52" s="588"/>
    </row>
    <row r="53" spans="24:24">
      <c r="X53" s="588"/>
    </row>
    <row r="54" spans="24:24">
      <c r="X54" s="588"/>
    </row>
    <row r="55" spans="24:24">
      <c r="X55" s="588"/>
    </row>
    <row r="56" spans="24:24">
      <c r="X56" s="588"/>
    </row>
    <row r="57" spans="24:24">
      <c r="X57" s="588"/>
    </row>
    <row r="58" spans="24:24">
      <c r="X58" s="588"/>
    </row>
    <row r="59" spans="24:24">
      <c r="X59" s="588"/>
    </row>
    <row r="60" spans="24:24">
      <c r="X60" s="588"/>
    </row>
    <row r="61" spans="24:24">
      <c r="X61" s="588"/>
    </row>
    <row r="62" spans="24:24">
      <c r="X62" s="588"/>
    </row>
    <row r="63" spans="24:24">
      <c r="X63" s="588"/>
    </row>
    <row r="64" spans="24:24">
      <c r="X64" s="588"/>
    </row>
    <row r="65" spans="24:24">
      <c r="X65" s="588"/>
    </row>
    <row r="66" spans="24:24">
      <c r="X66" s="588"/>
    </row>
    <row r="67" spans="24:24">
      <c r="X67" s="588"/>
    </row>
    <row r="68" spans="24:24">
      <c r="X68" s="588"/>
    </row>
    <row r="69" spans="24:24">
      <c r="X69" s="588"/>
    </row>
    <row r="70" spans="24:24">
      <c r="X70" s="588"/>
    </row>
    <row r="71" spans="24:24">
      <c r="X71" s="588"/>
    </row>
    <row r="72" spans="24:24">
      <c r="X72" s="588"/>
    </row>
    <row r="73" spans="24:24">
      <c r="X73" s="588"/>
    </row>
    <row r="74" spans="24:24">
      <c r="X74" s="588"/>
    </row>
    <row r="75" spans="24:24">
      <c r="X75" s="588"/>
    </row>
    <row r="76" spans="24:24">
      <c r="X76" s="588"/>
    </row>
    <row r="77" spans="24:24">
      <c r="X77" s="588"/>
    </row>
    <row r="78" spans="24:24">
      <c r="X78" s="588"/>
    </row>
    <row r="79" spans="24:24">
      <c r="X79" s="588"/>
    </row>
    <row r="80" spans="24:24">
      <c r="X80" s="588"/>
    </row>
    <row r="81" spans="24:24">
      <c r="X81" s="588"/>
    </row>
    <row r="82" spans="24:24">
      <c r="X82" s="588"/>
    </row>
    <row r="83" spans="24:24">
      <c r="X83" s="588"/>
    </row>
    <row r="84" spans="24:24">
      <c r="X84" s="588"/>
    </row>
    <row r="85" spans="24:24">
      <c r="X85" s="588"/>
    </row>
    <row r="86" spans="24:24">
      <c r="X86" s="588"/>
    </row>
    <row r="87" spans="24:24">
      <c r="X87" s="588"/>
    </row>
    <row r="88" spans="24:24">
      <c r="X88" s="588"/>
    </row>
    <row r="89" spans="24:24">
      <c r="X89" s="588"/>
    </row>
    <row r="90" spans="24:24">
      <c r="X90" s="588"/>
    </row>
    <row r="91" spans="24:24">
      <c r="X91" s="588"/>
    </row>
    <row r="92" spans="24:24">
      <c r="X92" s="588"/>
    </row>
    <row r="93" spans="24:24">
      <c r="X93" s="588"/>
    </row>
    <row r="94" spans="24:24">
      <c r="X94" s="588"/>
    </row>
    <row r="95" spans="24:24">
      <c r="X95" s="588"/>
    </row>
    <row r="96" spans="24:24">
      <c r="X96" s="588"/>
    </row>
    <row r="97" spans="24:24">
      <c r="X97" s="588"/>
    </row>
    <row r="98" spans="24:24">
      <c r="X98" s="588"/>
    </row>
    <row r="99" spans="24:24">
      <c r="X99" s="588"/>
    </row>
    <row r="100" spans="24:24">
      <c r="X100" s="588"/>
    </row>
    <row r="101" spans="24:24">
      <c r="X101" s="588"/>
    </row>
    <row r="102" spans="24:24">
      <c r="X102" s="588"/>
    </row>
    <row r="103" spans="24:24">
      <c r="X103" s="588"/>
    </row>
    <row r="104" spans="24:24">
      <c r="X104" s="588"/>
    </row>
    <row r="105" spans="24:24">
      <c r="X105" s="588"/>
    </row>
    <row r="106" spans="24:24">
      <c r="X106" s="588"/>
    </row>
    <row r="107" spans="24:24">
      <c r="X107" s="588"/>
    </row>
    <row r="108" spans="24:24">
      <c r="X108" s="588"/>
    </row>
    <row r="109" spans="24:24">
      <c r="X109" s="588"/>
    </row>
    <row r="110" spans="24:24">
      <c r="X110" s="588"/>
    </row>
    <row r="111" spans="24:24">
      <c r="X111" s="588"/>
    </row>
    <row r="112" spans="24:24">
      <c r="X112" s="588"/>
    </row>
    <row r="113" spans="24:24">
      <c r="X113" s="588"/>
    </row>
    <row r="114" spans="24:24">
      <c r="X114" s="588"/>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1"/>
  <sheetViews>
    <sheetView zoomScale="85" zoomScaleNormal="85" workbookViewId="0">
      <selection activeCell="A2" sqref="A2:P2"/>
    </sheetView>
  </sheetViews>
  <sheetFormatPr defaultRowHeight="15"/>
  <sheetData>
    <row r="1" spans="1:80">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2127</v>
      </c>
      <c r="R1" t="s">
        <v>2128</v>
      </c>
      <c r="S1" t="s">
        <v>2129</v>
      </c>
      <c r="T1" t="s">
        <v>2130</v>
      </c>
      <c r="U1" t="s">
        <v>2131</v>
      </c>
      <c r="V1" t="s">
        <v>2132</v>
      </c>
      <c r="W1" t="s">
        <v>2133</v>
      </c>
      <c r="X1" t="s">
        <v>2134</v>
      </c>
      <c r="Y1" t="s">
        <v>2135</v>
      </c>
      <c r="Z1" t="s">
        <v>2136</v>
      </c>
      <c r="AA1" t="s">
        <v>2137</v>
      </c>
      <c r="AB1" t="s">
        <v>2138</v>
      </c>
      <c r="AC1" t="s">
        <v>2139</v>
      </c>
      <c r="AD1" t="s">
        <v>2140</v>
      </c>
      <c r="AE1" t="s">
        <v>2141</v>
      </c>
      <c r="AF1" t="s">
        <v>2142</v>
      </c>
      <c r="AG1" t="s">
        <v>2143</v>
      </c>
      <c r="AH1" t="s">
        <v>2144</v>
      </c>
      <c r="AI1" t="s">
        <v>2145</v>
      </c>
      <c r="AJ1" t="s">
        <v>2146</v>
      </c>
      <c r="AK1" t="s">
        <v>2147</v>
      </c>
      <c r="AL1" t="s">
        <v>2148</v>
      </c>
      <c r="AM1" t="s">
        <v>2149</v>
      </c>
      <c r="AN1" t="s">
        <v>2150</v>
      </c>
      <c r="AO1" t="s">
        <v>2151</v>
      </c>
      <c r="AP1" t="s">
        <v>2152</v>
      </c>
      <c r="AQ1" t="s">
        <v>2153</v>
      </c>
      <c r="AR1" t="s">
        <v>2154</v>
      </c>
      <c r="AS1" t="s">
        <v>2155</v>
      </c>
      <c r="AT1" t="s">
        <v>2156</v>
      </c>
      <c r="AU1" t="s">
        <v>2157</v>
      </c>
      <c r="AV1" t="s">
        <v>2158</v>
      </c>
      <c r="AW1" t="s">
        <v>2159</v>
      </c>
      <c r="AX1" t="s">
        <v>2160</v>
      </c>
      <c r="AY1" t="s">
        <v>2161</v>
      </c>
      <c r="AZ1" t="s">
        <v>2162</v>
      </c>
      <c r="BA1" t="s">
        <v>2163</v>
      </c>
      <c r="BB1" t="s">
        <v>2164</v>
      </c>
      <c r="BC1" t="s">
        <v>2165</v>
      </c>
      <c r="BD1" t="s">
        <v>2166</v>
      </c>
      <c r="BE1" t="s">
        <v>2167</v>
      </c>
      <c r="BF1" t="s">
        <v>2168</v>
      </c>
      <c r="BG1" t="s">
        <v>2169</v>
      </c>
      <c r="BH1" t="s">
        <v>2170</v>
      </c>
      <c r="BI1" t="s">
        <v>2171</v>
      </c>
      <c r="BJ1" t="s">
        <v>2172</v>
      </c>
      <c r="BK1" t="s">
        <v>2173</v>
      </c>
      <c r="BL1" t="s">
        <v>2174</v>
      </c>
      <c r="BM1" t="s">
        <v>2175</v>
      </c>
      <c r="BN1" t="s">
        <v>2176</v>
      </c>
      <c r="BO1" t="s">
        <v>2177</v>
      </c>
      <c r="BP1" t="s">
        <v>2178</v>
      </c>
      <c r="BQ1" t="s">
        <v>2179</v>
      </c>
      <c r="BR1" t="s">
        <v>2180</v>
      </c>
      <c r="BS1" t="s">
        <v>2181</v>
      </c>
      <c r="BT1" t="s">
        <v>2182</v>
      </c>
      <c r="BU1" t="s">
        <v>2183</v>
      </c>
      <c r="BV1" t="s">
        <v>2184</v>
      </c>
      <c r="BW1" t="s">
        <v>2185</v>
      </c>
      <c r="BX1" t="s">
        <v>2186</v>
      </c>
      <c r="BY1" t="s">
        <v>2187</v>
      </c>
      <c r="BZ1" t="s">
        <v>2188</v>
      </c>
      <c r="CA1" t="s">
        <v>2189</v>
      </c>
      <c r="CB1" t="s">
        <v>2190</v>
      </c>
    </row>
    <row r="2" spans="1:80">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Q13a_A_Connect_YN</f>
        <v>0</v>
      </c>
      <c r="R2">
        <f>Q13a_B_InternalIT</f>
        <v>0</v>
      </c>
      <c r="S2">
        <f>Q13a_B_ExternalIT</f>
        <v>0</v>
      </c>
      <c r="T2">
        <f>Q13a_C_Client_YN</f>
        <v>0</v>
      </c>
      <c r="U2">
        <f>Q13a_C_Client_Explain</f>
        <v>0</v>
      </c>
      <c r="V2">
        <f>Q13a_C_Financial_YN</f>
        <v>0</v>
      </c>
      <c r="W2">
        <f>Q13a_C_Financial_Explain</f>
        <v>0</v>
      </c>
      <c r="X2">
        <f>Q13a_C_HR_YN</f>
        <v>0</v>
      </c>
      <c r="Y2">
        <f>Q13a_C_HR_Explain</f>
        <v>0</v>
      </c>
      <c r="Z2">
        <f>Q13a_C_ExportControl_YN</f>
        <v>0</v>
      </c>
      <c r="AA2">
        <f>Q13a_C_ExportControl_Explain</f>
        <v>0</v>
      </c>
      <c r="AB2">
        <f>Q13a_C_IP_YN</f>
        <v>0</v>
      </c>
      <c r="AC2">
        <f>Q13a_C_IP_Explain</f>
        <v>0</v>
      </c>
      <c r="AD2">
        <f>Q13a_C_Internal_YN</f>
        <v>0</v>
      </c>
      <c r="AE2">
        <f>Q13a_C_Internal_Explain</f>
        <v>0</v>
      </c>
      <c r="AF2">
        <f>Q13a_C_Production_YN</f>
        <v>0</v>
      </c>
      <c r="AG2">
        <f>Q13a_C_Production_Explain</f>
        <v>0</v>
      </c>
      <c r="AH2">
        <f>Q13a_C_Patent_YN</f>
        <v>0</v>
      </c>
      <c r="AI2">
        <f>Q13a_C_Patent_Explain</f>
        <v>0</v>
      </c>
      <c r="AJ2">
        <f>Q13a_C_Regulatory_YN</f>
        <v>0</v>
      </c>
      <c r="AK2">
        <f>Q13a_C_Regulatory_Explain</f>
        <v>0</v>
      </c>
      <c r="AL2">
        <f>Q13a_C_RD_YN</f>
        <v>0</v>
      </c>
      <c r="AM2">
        <f>Q13a_C_RD_Explain</f>
        <v>0</v>
      </c>
      <c r="AN2">
        <f>Q13a_C_Sourcing_YN</f>
        <v>0</v>
      </c>
      <c r="AO2">
        <f>Q13a_C_Sourcing_Explain</f>
        <v>0</v>
      </c>
      <c r="AP2">
        <f>Q13a_Comment</f>
        <v>0</v>
      </c>
      <c r="AQ2">
        <f>Q13b_A_IncreaseBudget_YN</f>
        <v>0</v>
      </c>
      <c r="AR2">
        <f>Q13b_B_Cloud_Pct</f>
        <v>0</v>
      </c>
      <c r="AS2">
        <f>Q13b_B_External_Pct</f>
        <v>0</v>
      </c>
      <c r="AT2">
        <f>Q13b_B_ProhibitNonUS</f>
        <v>0</v>
      </c>
      <c r="AU2">
        <f>Q13b_C_Idle_Impact</f>
        <v>0</v>
      </c>
      <c r="AV2">
        <f>Q13b_C_Idle_Explain</f>
        <v>0</v>
      </c>
      <c r="AW2">
        <f>Q13b_C_Disrupt_Impact</f>
        <v>0</v>
      </c>
      <c r="AX2">
        <f>Q13b_C_Disrupt_Explain</f>
        <v>0</v>
      </c>
      <c r="AY2">
        <f>Q13b_C_ITDamage_Impact</f>
        <v>0</v>
      </c>
      <c r="AZ2">
        <f>Q13b_C_ITDamage_Explain</f>
        <v>0</v>
      </c>
      <c r="BA2">
        <f>Q13b_C_Cost_Impact</f>
        <v>0</v>
      </c>
      <c r="BB2">
        <f>Q13b_C_Cost_Explain</f>
        <v>0</v>
      </c>
      <c r="BC2">
        <f>Q13b_C_Business_Impact</f>
        <v>0</v>
      </c>
      <c r="BD2">
        <f>Q13b_C_Business_Explain</f>
        <v>0</v>
      </c>
      <c r="BE2">
        <f>Q13b_C_Exfiltr_Impact</f>
        <v>0</v>
      </c>
      <c r="BF2">
        <f>Q13b_C_Exfiltr_Explain</f>
        <v>0</v>
      </c>
      <c r="BG2">
        <f>Q13b_C_Personnel_Impact</f>
        <v>0</v>
      </c>
      <c r="BH2">
        <f>Q13b_C_Personnel_Explain</f>
        <v>0</v>
      </c>
      <c r="BI2">
        <f>Q13b_C_SoftwareDamage_Impact</f>
        <v>0</v>
      </c>
      <c r="BJ2">
        <f>Q13b_C_SoftwareDamage_Explain</f>
        <v>0</v>
      </c>
      <c r="BK2">
        <f>Q13b_C_SoftwareTheft_Impact</f>
        <v>0</v>
      </c>
      <c r="BL2">
        <f>Q13b_C_SoftwareTheft_Explain</f>
        <v>0</v>
      </c>
      <c r="BM2">
        <f>Q13b_C_SystemDamage_Impact</f>
        <v>0</v>
      </c>
      <c r="BN2">
        <f>Q13b_C_SystemDamage_Explain</f>
        <v>0</v>
      </c>
      <c r="BO2">
        <f>Q13b_C_InfoDestroy_Impact</f>
        <v>0</v>
      </c>
      <c r="BP2">
        <f>Q13b_C_InfoDestroy_Explain</f>
        <v>0</v>
      </c>
      <c r="BQ2">
        <f>Q13b_C_Reputation_Impact</f>
        <v>0</v>
      </c>
      <c r="BR2">
        <f>Q13b_C_Reputation_Explain</f>
        <v>0</v>
      </c>
      <c r="BS2" t="str">
        <f>Q13b_C_Other1_Specify</f>
        <v>(specify here)</v>
      </c>
      <c r="BT2">
        <f>Q13b_C_Other1_Impact</f>
        <v>0</v>
      </c>
      <c r="BU2">
        <f>Q13b_C_Other1_Explain</f>
        <v>0</v>
      </c>
      <c r="BV2" t="str">
        <f>Q13b_C_Other2_Specify</f>
        <v>(specify here)</v>
      </c>
      <c r="BW2">
        <f>Q13b_C_Other2_Impact</f>
        <v>0</v>
      </c>
      <c r="BX2">
        <f>Q13b_C_Other2_Explain</f>
        <v>0</v>
      </c>
      <c r="BY2" t="str">
        <f>Q13b_C_Other3_Specify</f>
        <v>(specify here)</v>
      </c>
      <c r="BZ2">
        <f>Q13b_C_Other3_Impact</f>
        <v>0</v>
      </c>
      <c r="CA2">
        <f>Q13b_C_Other3_Explain</f>
        <v>0</v>
      </c>
      <c r="CB2">
        <f>Q13b_Comment</f>
        <v>0</v>
      </c>
    </row>
    <row r="18" spans="26:26">
      <c r="Z18" s="588"/>
    </row>
    <row r="19" spans="26:26">
      <c r="Z19" s="588"/>
    </row>
    <row r="20" spans="26:26">
      <c r="Z20" s="588"/>
    </row>
    <row r="21" spans="26:26">
      <c r="Z21" s="588"/>
    </row>
    <row r="22" spans="26:26">
      <c r="Z22" s="588"/>
    </row>
    <row r="23" spans="26:26">
      <c r="Z23" s="588"/>
    </row>
    <row r="24" spans="26:26">
      <c r="Z24" s="588"/>
    </row>
    <row r="25" spans="26:26">
      <c r="Z25" s="588"/>
    </row>
    <row r="26" spans="26:26">
      <c r="Z26" s="588"/>
    </row>
    <row r="27" spans="26:26">
      <c r="Z27" s="588"/>
    </row>
    <row r="28" spans="26:26">
      <c r="Z28" s="588"/>
    </row>
    <row r="29" spans="26:26">
      <c r="Z29" s="588"/>
    </row>
    <row r="30" spans="26:26">
      <c r="Z30" s="588"/>
    </row>
    <row r="31" spans="26:26">
      <c r="Z31" s="588"/>
    </row>
    <row r="32" spans="26:26">
      <c r="Z32" s="588"/>
    </row>
    <row r="33" spans="26:26">
      <c r="Z33" s="588"/>
    </row>
    <row r="34" spans="26:26">
      <c r="Z34" s="588"/>
    </row>
    <row r="35" spans="26:26">
      <c r="Z35" s="588"/>
    </row>
    <row r="36" spans="26:26">
      <c r="Z36" s="588"/>
    </row>
    <row r="37" spans="26:26">
      <c r="Z37" s="588"/>
    </row>
    <row r="38" spans="26:26">
      <c r="Z38" s="588"/>
    </row>
    <row r="39" spans="26:26">
      <c r="Z39" s="588"/>
    </row>
    <row r="40" spans="26:26">
      <c r="Z40" s="588"/>
    </row>
    <row r="41" spans="26:26">
      <c r="Z41" s="588"/>
    </row>
    <row r="42" spans="26:26">
      <c r="Z42" s="588"/>
    </row>
    <row r="43" spans="26:26">
      <c r="Z43" s="588"/>
    </row>
    <row r="44" spans="26:26">
      <c r="Z44" s="588"/>
    </row>
    <row r="45" spans="26:26">
      <c r="Z45" s="588"/>
    </row>
    <row r="46" spans="26:26">
      <c r="Z46" s="588"/>
    </row>
    <row r="47" spans="26:26">
      <c r="Z47" s="588"/>
    </row>
    <row r="48" spans="26:26">
      <c r="Z48" s="588"/>
    </row>
    <row r="49" spans="26:26">
      <c r="Z49" s="588"/>
    </row>
    <row r="50" spans="26:26">
      <c r="Z50" s="588"/>
    </row>
    <row r="51" spans="26:26">
      <c r="Z51" s="588"/>
    </row>
    <row r="52" spans="26:26">
      <c r="Z52" s="588"/>
    </row>
    <row r="53" spans="26:26">
      <c r="Z53" s="588"/>
    </row>
    <row r="54" spans="26:26">
      <c r="Z54" s="588"/>
    </row>
    <row r="55" spans="26:26">
      <c r="Z55" s="588"/>
    </row>
    <row r="56" spans="26:26">
      <c r="Z56" s="588"/>
    </row>
    <row r="57" spans="26:26">
      <c r="Z57" s="588"/>
    </row>
    <row r="58" spans="26:26">
      <c r="Z58" s="588"/>
    </row>
    <row r="59" spans="26:26">
      <c r="Z59" s="588"/>
    </row>
    <row r="60" spans="26:26">
      <c r="Z60" s="588"/>
    </row>
    <row r="61" spans="26:26">
      <c r="Z61" s="588"/>
    </row>
    <row r="62" spans="26:26">
      <c r="Z62" s="588"/>
    </row>
    <row r="63" spans="26:26">
      <c r="Z63" s="588"/>
    </row>
    <row r="64" spans="26:26">
      <c r="Z64" s="588"/>
    </row>
    <row r="65" spans="26:26">
      <c r="Z65" s="588"/>
    </row>
    <row r="66" spans="26:26">
      <c r="Z66" s="588"/>
    </row>
    <row r="67" spans="26:26">
      <c r="Z67" s="588"/>
    </row>
    <row r="68" spans="26:26">
      <c r="Z68" s="588"/>
    </row>
    <row r="69" spans="26:26">
      <c r="Z69" s="588"/>
    </row>
    <row r="70" spans="26:26">
      <c r="Z70" s="588"/>
    </row>
    <row r="71" spans="26:26">
      <c r="Z71" s="588"/>
    </row>
    <row r="72" spans="26:26">
      <c r="Z72" s="588"/>
    </row>
    <row r="73" spans="26:26">
      <c r="Z73" s="588"/>
    </row>
    <row r="74" spans="26:26">
      <c r="Z74" s="588"/>
    </row>
    <row r="75" spans="26:26">
      <c r="Z75" s="588"/>
    </row>
    <row r="76" spans="26:26">
      <c r="Z76" s="588"/>
    </row>
    <row r="77" spans="26:26">
      <c r="Z77" s="588"/>
    </row>
    <row r="78" spans="26:26">
      <c r="Z78" s="588"/>
    </row>
    <row r="79" spans="26:26">
      <c r="Z79" s="588"/>
    </row>
    <row r="80" spans="26:26">
      <c r="Z80" s="588"/>
    </row>
    <row r="81" spans="26:26">
      <c r="Z81" s="588"/>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6"/>
  <sheetViews>
    <sheetView zoomScale="85" zoomScaleNormal="85" workbookViewId="0">
      <selection activeCell="A2" sqref="A2:P2"/>
    </sheetView>
  </sheetViews>
  <sheetFormatPr defaultRowHeight="15"/>
  <sheetData>
    <row r="1" spans="1:25" ht="30">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s="625" t="s">
        <v>2191</v>
      </c>
      <c r="R1" s="625" t="s">
        <v>2192</v>
      </c>
      <c r="S1" s="593" t="s">
        <v>498</v>
      </c>
      <c r="T1" s="593" t="s">
        <v>2193</v>
      </c>
      <c r="U1" s="593" t="s">
        <v>497</v>
      </c>
      <c r="V1" s="593" t="s">
        <v>961</v>
      </c>
      <c r="W1" s="593" t="s">
        <v>419</v>
      </c>
      <c r="X1" s="593" t="s">
        <v>962</v>
      </c>
      <c r="Y1" s="593" t="s">
        <v>1784</v>
      </c>
    </row>
    <row r="2" spans="1:25">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s="591">
        <v>1</v>
      </c>
      <c r="R2" s="591" t="s">
        <v>110</v>
      </c>
      <c r="S2" t="str">
        <f>IF(OR(V2="Yes", W2="Yes", W3="Yes"), "Yes", "No")</f>
        <v>No</v>
      </c>
      <c r="T2">
        <f>'14'!G7</f>
        <v>0</v>
      </c>
      <c r="U2">
        <f>'14'!H7</f>
        <v>0</v>
      </c>
      <c r="V2">
        <f>IF($Y2='D-14A (Pivot)'!V$1, "Yes", 0)</f>
        <v>0</v>
      </c>
      <c r="W2">
        <f>IF($Y2='D-14A (Pivot)'!W$1, "Yes", 0)</f>
        <v>0</v>
      </c>
      <c r="X2">
        <f>IF($Y2='D-14A (Pivot)'!X$1, "Yes", 0)</f>
        <v>0</v>
      </c>
      <c r="Y2">
        <f>'14'!F7</f>
        <v>0</v>
      </c>
    </row>
    <row r="3" spans="1:25">
      <c r="A3">
        <f>'D-RP-1'!A$2</f>
        <v>0</v>
      </c>
      <c r="B3">
        <f>'D-RP-1'!B$2</f>
        <v>0</v>
      </c>
      <c r="C3">
        <f>'D-RP-1'!C$2</f>
        <v>0</v>
      </c>
      <c r="D3">
        <f>'D-RP-1'!D$2</f>
        <v>0</v>
      </c>
      <c r="E3">
        <f>'D-RP-1'!E$2</f>
        <v>0</v>
      </c>
      <c r="F3">
        <f>'D-RP-1'!F$2</f>
        <v>0</v>
      </c>
      <c r="G3">
        <f>'D-RP-1'!G$2</f>
        <v>0</v>
      </c>
      <c r="H3">
        <f>'D-RP-1'!H$2</f>
        <v>0</v>
      </c>
      <c r="I3">
        <f>'D-RP-1'!I$2</f>
        <v>0</v>
      </c>
      <c r="J3">
        <f>'D-RP-1'!J$2</f>
        <v>0</v>
      </c>
      <c r="K3">
        <f>'D-RP-1'!K$2</f>
        <v>0</v>
      </c>
      <c r="L3" t="str">
        <f>'D-RP-1'!L$2</f>
        <v>No Sales</v>
      </c>
      <c r="M3">
        <f>'D-RP-1'!M$2</f>
        <v>0</v>
      </c>
      <c r="N3" t="str">
        <f>'D-RP-1'!N$2</f>
        <v>Insufficient Data</v>
      </c>
      <c r="O3" t="str">
        <f>'D-RP-1'!O$2</f>
        <v>Insufficient Data</v>
      </c>
      <c r="P3" t="str">
        <f>'D-RP-1'!P$2</f>
        <v>Uncalculated</v>
      </c>
      <c r="Q3" s="591">
        <v>2</v>
      </c>
      <c r="R3" s="591" t="s">
        <v>452</v>
      </c>
      <c r="S3" t="str">
        <f t="shared" ref="S3:S30" si="0">IF(OR(V3="Yes", W3="Yes", W4="Yes"), "Yes", "No")</f>
        <v>No</v>
      </c>
      <c r="T3">
        <f>'14'!G8</f>
        <v>0</v>
      </c>
      <c r="U3">
        <f>'14'!H8</f>
        <v>0</v>
      </c>
      <c r="V3">
        <f>IF($Y3='D-14A (Pivot)'!V$1, "Yes", 0)</f>
        <v>0</v>
      </c>
      <c r="W3">
        <f>IF($Y3='D-14A (Pivot)'!W$1, "Yes", 0)</f>
        <v>0</v>
      </c>
      <c r="X3">
        <f>IF($Y3='D-14A (Pivot)'!X$1, "Yes", 0)</f>
        <v>0</v>
      </c>
      <c r="Y3">
        <f>'14'!F8</f>
        <v>0</v>
      </c>
    </row>
    <row r="4" spans="1:25">
      <c r="A4">
        <f>'D-RP-1'!A$2</f>
        <v>0</v>
      </c>
      <c r="B4">
        <f>'D-RP-1'!B$2</f>
        <v>0</v>
      </c>
      <c r="C4">
        <f>'D-RP-1'!C$2</f>
        <v>0</v>
      </c>
      <c r="D4">
        <f>'D-RP-1'!D$2</f>
        <v>0</v>
      </c>
      <c r="E4">
        <f>'D-RP-1'!E$2</f>
        <v>0</v>
      </c>
      <c r="F4">
        <f>'D-RP-1'!F$2</f>
        <v>0</v>
      </c>
      <c r="G4">
        <f>'D-RP-1'!G$2</f>
        <v>0</v>
      </c>
      <c r="H4">
        <f>'D-RP-1'!H$2</f>
        <v>0</v>
      </c>
      <c r="I4">
        <f>'D-RP-1'!I$2</f>
        <v>0</v>
      </c>
      <c r="J4">
        <f>'D-RP-1'!J$2</f>
        <v>0</v>
      </c>
      <c r="K4">
        <f>'D-RP-1'!K$2</f>
        <v>0</v>
      </c>
      <c r="L4" t="str">
        <f>'D-RP-1'!L$2</f>
        <v>No Sales</v>
      </c>
      <c r="M4">
        <f>'D-RP-1'!M$2</f>
        <v>0</v>
      </c>
      <c r="N4" t="str">
        <f>'D-RP-1'!N$2</f>
        <v>Insufficient Data</v>
      </c>
      <c r="O4" t="str">
        <f>'D-RP-1'!O$2</f>
        <v>Insufficient Data</v>
      </c>
      <c r="P4" t="str">
        <f>'D-RP-1'!P$2</f>
        <v>Uncalculated</v>
      </c>
      <c r="Q4" s="591">
        <v>3</v>
      </c>
      <c r="R4" s="591" t="s">
        <v>966</v>
      </c>
      <c r="S4" t="str">
        <f t="shared" si="0"/>
        <v>No</v>
      </c>
      <c r="T4">
        <f>'14'!G9</f>
        <v>0</v>
      </c>
      <c r="U4">
        <f>'14'!H9</f>
        <v>0</v>
      </c>
      <c r="V4">
        <f>IF($Y4='D-14A (Pivot)'!V$1, "Yes", 0)</f>
        <v>0</v>
      </c>
      <c r="W4">
        <f>IF($Y4='D-14A (Pivot)'!W$1, "Yes", 0)</f>
        <v>0</v>
      </c>
      <c r="X4">
        <f>IF($Y4='D-14A (Pivot)'!X$1, "Yes", 0)</f>
        <v>0</v>
      </c>
      <c r="Y4">
        <f>'14'!F9</f>
        <v>0</v>
      </c>
    </row>
    <row r="5" spans="1:25">
      <c r="A5">
        <f>'D-RP-1'!A$2</f>
        <v>0</v>
      </c>
      <c r="B5">
        <f>'D-RP-1'!B$2</f>
        <v>0</v>
      </c>
      <c r="C5">
        <f>'D-RP-1'!C$2</f>
        <v>0</v>
      </c>
      <c r="D5">
        <f>'D-RP-1'!D$2</f>
        <v>0</v>
      </c>
      <c r="E5">
        <f>'D-RP-1'!E$2</f>
        <v>0</v>
      </c>
      <c r="F5">
        <f>'D-RP-1'!F$2</f>
        <v>0</v>
      </c>
      <c r="G5">
        <f>'D-RP-1'!G$2</f>
        <v>0</v>
      </c>
      <c r="H5">
        <f>'D-RP-1'!H$2</f>
        <v>0</v>
      </c>
      <c r="I5">
        <f>'D-RP-1'!I$2</f>
        <v>0</v>
      </c>
      <c r="J5">
        <f>'D-RP-1'!J$2</f>
        <v>0</v>
      </c>
      <c r="K5">
        <f>'D-RP-1'!K$2</f>
        <v>0</v>
      </c>
      <c r="L5" t="str">
        <f>'D-RP-1'!L$2</f>
        <v>No Sales</v>
      </c>
      <c r="M5">
        <f>'D-RP-1'!M$2</f>
        <v>0</v>
      </c>
      <c r="N5" t="str">
        <f>'D-RP-1'!N$2</f>
        <v>Insufficient Data</v>
      </c>
      <c r="O5" t="str">
        <f>'D-RP-1'!O$2</f>
        <v>Insufficient Data</v>
      </c>
      <c r="P5" t="str">
        <f>'D-RP-1'!P$2</f>
        <v>Uncalculated</v>
      </c>
      <c r="Q5" s="591">
        <v>4</v>
      </c>
      <c r="R5" s="591" t="s">
        <v>968</v>
      </c>
      <c r="S5" t="str">
        <f t="shared" si="0"/>
        <v>No</v>
      </c>
      <c r="T5">
        <f>'14'!G10</f>
        <v>0</v>
      </c>
      <c r="U5">
        <f>'14'!H10</f>
        <v>0</v>
      </c>
      <c r="V5">
        <f>IF($Y5='D-14A (Pivot)'!V$1, "Yes", 0)</f>
        <v>0</v>
      </c>
      <c r="W5">
        <f>IF($Y5='D-14A (Pivot)'!W$1, "Yes", 0)</f>
        <v>0</v>
      </c>
      <c r="X5">
        <f>IF($Y5='D-14A (Pivot)'!X$1, "Yes", 0)</f>
        <v>0</v>
      </c>
      <c r="Y5">
        <f>'14'!F10</f>
        <v>0</v>
      </c>
    </row>
    <row r="6" spans="1:25">
      <c r="A6">
        <f>'D-RP-1'!A$2</f>
        <v>0</v>
      </c>
      <c r="B6">
        <f>'D-RP-1'!B$2</f>
        <v>0</v>
      </c>
      <c r="C6">
        <f>'D-RP-1'!C$2</f>
        <v>0</v>
      </c>
      <c r="D6">
        <f>'D-RP-1'!D$2</f>
        <v>0</v>
      </c>
      <c r="E6">
        <f>'D-RP-1'!E$2</f>
        <v>0</v>
      </c>
      <c r="F6">
        <f>'D-RP-1'!F$2</f>
        <v>0</v>
      </c>
      <c r="G6">
        <f>'D-RP-1'!G$2</f>
        <v>0</v>
      </c>
      <c r="H6">
        <f>'D-RP-1'!H$2</f>
        <v>0</v>
      </c>
      <c r="I6">
        <f>'D-RP-1'!I$2</f>
        <v>0</v>
      </c>
      <c r="J6">
        <f>'D-RP-1'!J$2</f>
        <v>0</v>
      </c>
      <c r="K6">
        <f>'D-RP-1'!K$2</f>
        <v>0</v>
      </c>
      <c r="L6" t="str">
        <f>'D-RP-1'!L$2</f>
        <v>No Sales</v>
      </c>
      <c r="M6">
        <f>'D-RP-1'!M$2</f>
        <v>0</v>
      </c>
      <c r="N6" t="str">
        <f>'D-RP-1'!N$2</f>
        <v>Insufficient Data</v>
      </c>
      <c r="O6" t="str">
        <f>'D-RP-1'!O$2</f>
        <v>Insufficient Data</v>
      </c>
      <c r="P6" t="str">
        <f>'D-RP-1'!P$2</f>
        <v>Uncalculated</v>
      </c>
      <c r="Q6" s="591">
        <v>5</v>
      </c>
      <c r="R6" s="591" t="s">
        <v>453</v>
      </c>
      <c r="S6" t="str">
        <f t="shared" si="0"/>
        <v>No</v>
      </c>
      <c r="T6">
        <f>'14'!G11</f>
        <v>0</v>
      </c>
      <c r="U6">
        <f>'14'!H11</f>
        <v>0</v>
      </c>
      <c r="V6">
        <f>IF($Y6='D-14A (Pivot)'!V$1, "Yes", 0)</f>
        <v>0</v>
      </c>
      <c r="W6">
        <f>IF($Y6='D-14A (Pivot)'!W$1, "Yes", 0)</f>
        <v>0</v>
      </c>
      <c r="X6">
        <f>IF($Y6='D-14A (Pivot)'!X$1, "Yes", 0)</f>
        <v>0</v>
      </c>
      <c r="Y6">
        <f>'14'!F11</f>
        <v>0</v>
      </c>
    </row>
    <row r="7" spans="1:25">
      <c r="A7">
        <f>'D-RP-1'!A$2</f>
        <v>0</v>
      </c>
      <c r="B7">
        <f>'D-RP-1'!B$2</f>
        <v>0</v>
      </c>
      <c r="C7">
        <f>'D-RP-1'!C$2</f>
        <v>0</v>
      </c>
      <c r="D7">
        <f>'D-RP-1'!D$2</f>
        <v>0</v>
      </c>
      <c r="E7">
        <f>'D-RP-1'!E$2</f>
        <v>0</v>
      </c>
      <c r="F7">
        <f>'D-RP-1'!F$2</f>
        <v>0</v>
      </c>
      <c r="G7">
        <f>'D-RP-1'!G$2</f>
        <v>0</v>
      </c>
      <c r="H7">
        <f>'D-RP-1'!H$2</f>
        <v>0</v>
      </c>
      <c r="I7">
        <f>'D-RP-1'!I$2</f>
        <v>0</v>
      </c>
      <c r="J7">
        <f>'D-RP-1'!J$2</f>
        <v>0</v>
      </c>
      <c r="K7">
        <f>'D-RP-1'!K$2</f>
        <v>0</v>
      </c>
      <c r="L7" t="str">
        <f>'D-RP-1'!L$2</f>
        <v>No Sales</v>
      </c>
      <c r="M7">
        <f>'D-RP-1'!M$2</f>
        <v>0</v>
      </c>
      <c r="N7" t="str">
        <f>'D-RP-1'!N$2</f>
        <v>Insufficient Data</v>
      </c>
      <c r="O7" t="str">
        <f>'D-RP-1'!O$2</f>
        <v>Insufficient Data</v>
      </c>
      <c r="P7" t="str">
        <f>'D-RP-1'!P$2</f>
        <v>Uncalculated</v>
      </c>
      <c r="Q7" s="591">
        <v>6</v>
      </c>
      <c r="R7" s="591" t="s">
        <v>533</v>
      </c>
      <c r="S7" t="str">
        <f t="shared" si="0"/>
        <v>No</v>
      </c>
      <c r="T7">
        <f>'14'!G12</f>
        <v>0</v>
      </c>
      <c r="U7">
        <f>'14'!H12</f>
        <v>0</v>
      </c>
      <c r="V7">
        <f>IF($Y7='D-14A (Pivot)'!V$1, "Yes", 0)</f>
        <v>0</v>
      </c>
      <c r="W7">
        <f>IF($Y7='D-14A (Pivot)'!W$1, "Yes", 0)</f>
        <v>0</v>
      </c>
      <c r="X7">
        <f>IF($Y7='D-14A (Pivot)'!X$1, "Yes", 0)</f>
        <v>0</v>
      </c>
      <c r="Y7">
        <f>'14'!F12</f>
        <v>0</v>
      </c>
    </row>
    <row r="8" spans="1:25">
      <c r="A8">
        <f>'D-RP-1'!A$2</f>
        <v>0</v>
      </c>
      <c r="B8">
        <f>'D-RP-1'!B$2</f>
        <v>0</v>
      </c>
      <c r="C8">
        <f>'D-RP-1'!C$2</f>
        <v>0</v>
      </c>
      <c r="D8">
        <f>'D-RP-1'!D$2</f>
        <v>0</v>
      </c>
      <c r="E8">
        <f>'D-RP-1'!E$2</f>
        <v>0</v>
      </c>
      <c r="F8">
        <f>'D-RP-1'!F$2</f>
        <v>0</v>
      </c>
      <c r="G8">
        <f>'D-RP-1'!G$2</f>
        <v>0</v>
      </c>
      <c r="H8">
        <f>'D-RP-1'!H$2</f>
        <v>0</v>
      </c>
      <c r="I8">
        <f>'D-RP-1'!I$2</f>
        <v>0</v>
      </c>
      <c r="J8">
        <f>'D-RP-1'!J$2</f>
        <v>0</v>
      </c>
      <c r="K8">
        <f>'D-RP-1'!K$2</f>
        <v>0</v>
      </c>
      <c r="L8" t="str">
        <f>'D-RP-1'!L$2</f>
        <v>No Sales</v>
      </c>
      <c r="M8">
        <f>'D-RP-1'!M$2</f>
        <v>0</v>
      </c>
      <c r="N8" t="str">
        <f>'D-RP-1'!N$2</f>
        <v>Insufficient Data</v>
      </c>
      <c r="O8" t="str">
        <f>'D-RP-1'!O$2</f>
        <v>Insufficient Data</v>
      </c>
      <c r="P8" t="str">
        <f>'D-RP-1'!P$2</f>
        <v>Uncalculated</v>
      </c>
      <c r="Q8" s="591">
        <v>7</v>
      </c>
      <c r="R8" s="591" t="s">
        <v>965</v>
      </c>
      <c r="S8" t="str">
        <f t="shared" si="0"/>
        <v>No</v>
      </c>
      <c r="T8">
        <f>'14'!G13</f>
        <v>0</v>
      </c>
      <c r="U8">
        <f>'14'!H13</f>
        <v>0</v>
      </c>
      <c r="V8">
        <f>IF($Y8='D-14A (Pivot)'!V$1, "Yes", 0)</f>
        <v>0</v>
      </c>
      <c r="W8">
        <f>IF($Y8='D-14A (Pivot)'!W$1, "Yes", 0)</f>
        <v>0</v>
      </c>
      <c r="X8">
        <f>IF($Y8='D-14A (Pivot)'!X$1, "Yes", 0)</f>
        <v>0</v>
      </c>
      <c r="Y8">
        <f>'14'!F13</f>
        <v>0</v>
      </c>
    </row>
    <row r="9" spans="1:25">
      <c r="A9">
        <f>'D-RP-1'!A$2</f>
        <v>0</v>
      </c>
      <c r="B9">
        <f>'D-RP-1'!B$2</f>
        <v>0</v>
      </c>
      <c r="C9">
        <f>'D-RP-1'!C$2</f>
        <v>0</v>
      </c>
      <c r="D9">
        <f>'D-RP-1'!D$2</f>
        <v>0</v>
      </c>
      <c r="E9">
        <f>'D-RP-1'!E$2</f>
        <v>0</v>
      </c>
      <c r="F9">
        <f>'D-RP-1'!F$2</f>
        <v>0</v>
      </c>
      <c r="G9">
        <f>'D-RP-1'!G$2</f>
        <v>0</v>
      </c>
      <c r="H9">
        <f>'D-RP-1'!H$2</f>
        <v>0</v>
      </c>
      <c r="I9">
        <f>'D-RP-1'!I$2</f>
        <v>0</v>
      </c>
      <c r="J9">
        <f>'D-RP-1'!J$2</f>
        <v>0</v>
      </c>
      <c r="K9">
        <f>'D-RP-1'!K$2</f>
        <v>0</v>
      </c>
      <c r="L9" t="str">
        <f>'D-RP-1'!L$2</f>
        <v>No Sales</v>
      </c>
      <c r="M9">
        <f>'D-RP-1'!M$2</f>
        <v>0</v>
      </c>
      <c r="N9" t="str">
        <f>'D-RP-1'!N$2</f>
        <v>Insufficient Data</v>
      </c>
      <c r="O9" t="str">
        <f>'D-RP-1'!O$2</f>
        <v>Insufficient Data</v>
      </c>
      <c r="P9" t="str">
        <f>'D-RP-1'!P$2</f>
        <v>Uncalculated</v>
      </c>
      <c r="Q9" s="591">
        <v>8</v>
      </c>
      <c r="R9" s="591" t="s">
        <v>967</v>
      </c>
      <c r="S9" t="str">
        <f t="shared" si="0"/>
        <v>No</v>
      </c>
      <c r="T9">
        <f>'14'!G14</f>
        <v>0</v>
      </c>
      <c r="U9">
        <f>'14'!H14</f>
        <v>0</v>
      </c>
      <c r="V9">
        <f>IF($Y9='D-14A (Pivot)'!V$1, "Yes", 0)</f>
        <v>0</v>
      </c>
      <c r="W9">
        <f>IF($Y9='D-14A (Pivot)'!W$1, "Yes", 0)</f>
        <v>0</v>
      </c>
      <c r="X9">
        <f>IF($Y9='D-14A (Pivot)'!X$1, "Yes", 0)</f>
        <v>0</v>
      </c>
      <c r="Y9">
        <f>'14'!F14</f>
        <v>0</v>
      </c>
    </row>
    <row r="10" spans="1:25">
      <c r="A10">
        <f>'D-RP-1'!A$2</f>
        <v>0</v>
      </c>
      <c r="B10">
        <f>'D-RP-1'!B$2</f>
        <v>0</v>
      </c>
      <c r="C10">
        <f>'D-RP-1'!C$2</f>
        <v>0</v>
      </c>
      <c r="D10">
        <f>'D-RP-1'!D$2</f>
        <v>0</v>
      </c>
      <c r="E10">
        <f>'D-RP-1'!E$2</f>
        <v>0</v>
      </c>
      <c r="F10">
        <f>'D-RP-1'!F$2</f>
        <v>0</v>
      </c>
      <c r="G10">
        <f>'D-RP-1'!G$2</f>
        <v>0</v>
      </c>
      <c r="H10">
        <f>'D-RP-1'!H$2</f>
        <v>0</v>
      </c>
      <c r="I10">
        <f>'D-RP-1'!I$2</f>
        <v>0</v>
      </c>
      <c r="J10">
        <f>'D-RP-1'!J$2</f>
        <v>0</v>
      </c>
      <c r="K10">
        <f>'D-RP-1'!K$2</f>
        <v>0</v>
      </c>
      <c r="L10" t="str">
        <f>'D-RP-1'!L$2</f>
        <v>No Sales</v>
      </c>
      <c r="M10">
        <f>'D-RP-1'!M$2</f>
        <v>0</v>
      </c>
      <c r="N10" t="str">
        <f>'D-RP-1'!N$2</f>
        <v>Insufficient Data</v>
      </c>
      <c r="O10" t="str">
        <f>'D-RP-1'!O$2</f>
        <v>Insufficient Data</v>
      </c>
      <c r="P10" t="str">
        <f>'D-RP-1'!P$2</f>
        <v>Uncalculated</v>
      </c>
      <c r="Q10" s="591">
        <v>9</v>
      </c>
      <c r="R10" s="591" t="s">
        <v>534</v>
      </c>
      <c r="S10" t="str">
        <f t="shared" si="0"/>
        <v>No</v>
      </c>
      <c r="T10">
        <f>'14'!G15</f>
        <v>0</v>
      </c>
      <c r="U10">
        <f>'14'!H15</f>
        <v>0</v>
      </c>
      <c r="V10">
        <f>IF($Y10='D-14A (Pivot)'!V$1, "Yes", 0)</f>
        <v>0</v>
      </c>
      <c r="W10">
        <f>IF($Y10='D-14A (Pivot)'!W$1, "Yes", 0)</f>
        <v>0</v>
      </c>
      <c r="X10">
        <f>IF($Y10='D-14A (Pivot)'!X$1, "Yes", 0)</f>
        <v>0</v>
      </c>
      <c r="Y10">
        <f>'14'!F15</f>
        <v>0</v>
      </c>
    </row>
    <row r="11" spans="1:25">
      <c r="A11">
        <f>'D-RP-1'!A$2</f>
        <v>0</v>
      </c>
      <c r="B11">
        <f>'D-RP-1'!B$2</f>
        <v>0</v>
      </c>
      <c r="C11">
        <f>'D-RP-1'!C$2</f>
        <v>0</v>
      </c>
      <c r="D11">
        <f>'D-RP-1'!D$2</f>
        <v>0</v>
      </c>
      <c r="E11">
        <f>'D-RP-1'!E$2</f>
        <v>0</v>
      </c>
      <c r="F11">
        <f>'D-RP-1'!F$2</f>
        <v>0</v>
      </c>
      <c r="G11">
        <f>'D-RP-1'!G$2</f>
        <v>0</v>
      </c>
      <c r="H11">
        <f>'D-RP-1'!H$2</f>
        <v>0</v>
      </c>
      <c r="I11">
        <f>'D-RP-1'!I$2</f>
        <v>0</v>
      </c>
      <c r="J11">
        <f>'D-RP-1'!J$2</f>
        <v>0</v>
      </c>
      <c r="K11">
        <f>'D-RP-1'!K$2</f>
        <v>0</v>
      </c>
      <c r="L11" t="str">
        <f>'D-RP-1'!L$2</f>
        <v>No Sales</v>
      </c>
      <c r="M11">
        <f>'D-RP-1'!M$2</f>
        <v>0</v>
      </c>
      <c r="N11" t="str">
        <f>'D-RP-1'!N$2</f>
        <v>Insufficient Data</v>
      </c>
      <c r="O11" t="str">
        <f>'D-RP-1'!O$2</f>
        <v>Insufficient Data</v>
      </c>
      <c r="P11" t="str">
        <f>'D-RP-1'!P$2</f>
        <v>Uncalculated</v>
      </c>
      <c r="Q11" s="591">
        <v>10</v>
      </c>
      <c r="R11" s="591" t="s">
        <v>535</v>
      </c>
      <c r="S11" t="str">
        <f t="shared" si="0"/>
        <v>No</v>
      </c>
      <c r="T11">
        <f>'14'!G16</f>
        <v>0</v>
      </c>
      <c r="U11">
        <f>'14'!H16</f>
        <v>0</v>
      </c>
      <c r="V11">
        <f>IF($Y11='D-14A (Pivot)'!V$1, "Yes", 0)</f>
        <v>0</v>
      </c>
      <c r="W11">
        <f>IF($Y11='D-14A (Pivot)'!W$1, "Yes", 0)</f>
        <v>0</v>
      </c>
      <c r="X11">
        <f>IF($Y11='D-14A (Pivot)'!X$1, "Yes", 0)</f>
        <v>0</v>
      </c>
      <c r="Y11">
        <f>'14'!F16</f>
        <v>0</v>
      </c>
    </row>
    <row r="12" spans="1:25">
      <c r="A12">
        <f>'D-RP-1'!A$2</f>
        <v>0</v>
      </c>
      <c r="B12">
        <f>'D-RP-1'!B$2</f>
        <v>0</v>
      </c>
      <c r="C12">
        <f>'D-RP-1'!C$2</f>
        <v>0</v>
      </c>
      <c r="D12">
        <f>'D-RP-1'!D$2</f>
        <v>0</v>
      </c>
      <c r="E12">
        <f>'D-RP-1'!E$2</f>
        <v>0</v>
      </c>
      <c r="F12">
        <f>'D-RP-1'!F$2</f>
        <v>0</v>
      </c>
      <c r="G12">
        <f>'D-RP-1'!G$2</f>
        <v>0</v>
      </c>
      <c r="H12">
        <f>'D-RP-1'!H$2</f>
        <v>0</v>
      </c>
      <c r="I12">
        <f>'D-RP-1'!I$2</f>
        <v>0</v>
      </c>
      <c r="J12">
        <f>'D-RP-1'!J$2</f>
        <v>0</v>
      </c>
      <c r="K12">
        <f>'D-RP-1'!K$2</f>
        <v>0</v>
      </c>
      <c r="L12" t="str">
        <f>'D-RP-1'!L$2</f>
        <v>No Sales</v>
      </c>
      <c r="M12">
        <f>'D-RP-1'!M$2</f>
        <v>0</v>
      </c>
      <c r="N12" t="str">
        <f>'D-RP-1'!N$2</f>
        <v>Insufficient Data</v>
      </c>
      <c r="O12" t="str">
        <f>'D-RP-1'!O$2</f>
        <v>Insufficient Data</v>
      </c>
      <c r="P12" t="str">
        <f>'D-RP-1'!P$2</f>
        <v>Uncalculated</v>
      </c>
      <c r="Q12" s="591">
        <v>11</v>
      </c>
      <c r="R12" s="591" t="s">
        <v>536</v>
      </c>
      <c r="S12" t="str">
        <f t="shared" si="0"/>
        <v>No</v>
      </c>
      <c r="T12">
        <f>'14'!G17</f>
        <v>0</v>
      </c>
      <c r="U12">
        <f>'14'!H17</f>
        <v>0</v>
      </c>
      <c r="V12">
        <f>IF($Y12='D-14A (Pivot)'!V$1, "Yes", 0)</f>
        <v>0</v>
      </c>
      <c r="W12">
        <f>IF($Y12='D-14A (Pivot)'!W$1, "Yes", 0)</f>
        <v>0</v>
      </c>
      <c r="X12">
        <f>IF($Y12='D-14A (Pivot)'!X$1, "Yes", 0)</f>
        <v>0</v>
      </c>
      <c r="Y12">
        <f>'14'!F17</f>
        <v>0</v>
      </c>
    </row>
    <row r="13" spans="1:25">
      <c r="A13">
        <f>'D-RP-1'!A$2</f>
        <v>0</v>
      </c>
      <c r="B13">
        <f>'D-RP-1'!B$2</f>
        <v>0</v>
      </c>
      <c r="C13">
        <f>'D-RP-1'!C$2</f>
        <v>0</v>
      </c>
      <c r="D13">
        <f>'D-RP-1'!D$2</f>
        <v>0</v>
      </c>
      <c r="E13">
        <f>'D-RP-1'!E$2</f>
        <v>0</v>
      </c>
      <c r="F13">
        <f>'D-RP-1'!F$2</f>
        <v>0</v>
      </c>
      <c r="G13">
        <f>'D-RP-1'!G$2</f>
        <v>0</v>
      </c>
      <c r="H13">
        <f>'D-RP-1'!H$2</f>
        <v>0</v>
      </c>
      <c r="I13">
        <f>'D-RP-1'!I$2</f>
        <v>0</v>
      </c>
      <c r="J13">
        <f>'D-RP-1'!J$2</f>
        <v>0</v>
      </c>
      <c r="K13">
        <f>'D-RP-1'!K$2</f>
        <v>0</v>
      </c>
      <c r="L13" t="str">
        <f>'D-RP-1'!L$2</f>
        <v>No Sales</v>
      </c>
      <c r="M13">
        <f>'D-RP-1'!M$2</f>
        <v>0</v>
      </c>
      <c r="N13" t="str">
        <f>'D-RP-1'!N$2</f>
        <v>Insufficient Data</v>
      </c>
      <c r="O13" t="str">
        <f>'D-RP-1'!O$2</f>
        <v>Insufficient Data</v>
      </c>
      <c r="P13" t="str">
        <f>'D-RP-1'!P$2</f>
        <v>Uncalculated</v>
      </c>
      <c r="Q13" s="591">
        <v>12</v>
      </c>
      <c r="R13" s="591" t="s">
        <v>537</v>
      </c>
      <c r="S13" t="str">
        <f t="shared" si="0"/>
        <v>No</v>
      </c>
      <c r="T13">
        <f>'14'!G18</f>
        <v>0</v>
      </c>
      <c r="U13">
        <f>'14'!H18</f>
        <v>0</v>
      </c>
      <c r="V13">
        <f>IF($Y13='D-14A (Pivot)'!V$1, "Yes", 0)</f>
        <v>0</v>
      </c>
      <c r="W13">
        <f>IF($Y13='D-14A (Pivot)'!W$1, "Yes", 0)</f>
        <v>0</v>
      </c>
      <c r="X13">
        <f>IF($Y13='D-14A (Pivot)'!X$1, "Yes", 0)</f>
        <v>0</v>
      </c>
      <c r="Y13">
        <f>'14'!F18</f>
        <v>0</v>
      </c>
    </row>
    <row r="14" spans="1:25">
      <c r="A14">
        <f>'D-RP-1'!A$2</f>
        <v>0</v>
      </c>
      <c r="B14">
        <f>'D-RP-1'!B$2</f>
        <v>0</v>
      </c>
      <c r="C14">
        <f>'D-RP-1'!C$2</f>
        <v>0</v>
      </c>
      <c r="D14">
        <f>'D-RP-1'!D$2</f>
        <v>0</v>
      </c>
      <c r="E14">
        <f>'D-RP-1'!E$2</f>
        <v>0</v>
      </c>
      <c r="F14">
        <f>'D-RP-1'!F$2</f>
        <v>0</v>
      </c>
      <c r="G14">
        <f>'D-RP-1'!G$2</f>
        <v>0</v>
      </c>
      <c r="H14">
        <f>'D-RP-1'!H$2</f>
        <v>0</v>
      </c>
      <c r="I14">
        <f>'D-RP-1'!I$2</f>
        <v>0</v>
      </c>
      <c r="J14">
        <f>'D-RP-1'!J$2</f>
        <v>0</v>
      </c>
      <c r="K14">
        <f>'D-RP-1'!K$2</f>
        <v>0</v>
      </c>
      <c r="L14" t="str">
        <f>'D-RP-1'!L$2</f>
        <v>No Sales</v>
      </c>
      <c r="M14">
        <f>'D-RP-1'!M$2</f>
        <v>0</v>
      </c>
      <c r="N14" t="str">
        <f>'D-RP-1'!N$2</f>
        <v>Insufficient Data</v>
      </c>
      <c r="O14" t="str">
        <f>'D-RP-1'!O$2</f>
        <v>Insufficient Data</v>
      </c>
      <c r="P14" t="str">
        <f>'D-RP-1'!P$2</f>
        <v>Uncalculated</v>
      </c>
      <c r="Q14" s="591">
        <v>13</v>
      </c>
      <c r="R14" s="591" t="s">
        <v>964</v>
      </c>
      <c r="S14" t="str">
        <f t="shared" si="0"/>
        <v>No</v>
      </c>
      <c r="T14">
        <f>'14'!G19</f>
        <v>0</v>
      </c>
      <c r="U14">
        <f>'14'!H19</f>
        <v>0</v>
      </c>
      <c r="V14">
        <f>IF($Y14='D-14A (Pivot)'!V$1, "Yes", 0)</f>
        <v>0</v>
      </c>
      <c r="W14">
        <f>IF($Y14='D-14A (Pivot)'!W$1, "Yes", 0)</f>
        <v>0</v>
      </c>
      <c r="X14">
        <f>IF($Y14='D-14A (Pivot)'!X$1, "Yes", 0)</f>
        <v>0</v>
      </c>
      <c r="Y14">
        <f>'14'!F19</f>
        <v>0</v>
      </c>
    </row>
    <row r="15" spans="1:25">
      <c r="A15">
        <f>'D-RP-1'!A$2</f>
        <v>0</v>
      </c>
      <c r="B15">
        <f>'D-RP-1'!B$2</f>
        <v>0</v>
      </c>
      <c r="C15">
        <f>'D-RP-1'!C$2</f>
        <v>0</v>
      </c>
      <c r="D15">
        <f>'D-RP-1'!D$2</f>
        <v>0</v>
      </c>
      <c r="E15">
        <f>'D-RP-1'!E$2</f>
        <v>0</v>
      </c>
      <c r="F15">
        <f>'D-RP-1'!F$2</f>
        <v>0</v>
      </c>
      <c r="G15">
        <f>'D-RP-1'!G$2</f>
        <v>0</v>
      </c>
      <c r="H15">
        <f>'D-RP-1'!H$2</f>
        <v>0</v>
      </c>
      <c r="I15">
        <f>'D-RP-1'!I$2</f>
        <v>0</v>
      </c>
      <c r="J15">
        <f>'D-RP-1'!J$2</f>
        <v>0</v>
      </c>
      <c r="K15">
        <f>'D-RP-1'!K$2</f>
        <v>0</v>
      </c>
      <c r="L15" t="str">
        <f>'D-RP-1'!L$2</f>
        <v>No Sales</v>
      </c>
      <c r="M15">
        <f>'D-RP-1'!M$2</f>
        <v>0</v>
      </c>
      <c r="N15" t="str">
        <f>'D-RP-1'!N$2</f>
        <v>Insufficient Data</v>
      </c>
      <c r="O15" t="str">
        <f>'D-RP-1'!O$2</f>
        <v>Insufficient Data</v>
      </c>
      <c r="P15" t="str">
        <f>'D-RP-1'!P$2</f>
        <v>Uncalculated</v>
      </c>
      <c r="Q15" s="591">
        <v>14</v>
      </c>
      <c r="R15" s="591" t="s">
        <v>1187</v>
      </c>
      <c r="S15" t="str">
        <f t="shared" si="0"/>
        <v>No</v>
      </c>
      <c r="T15">
        <f>'14'!G20</f>
        <v>0</v>
      </c>
      <c r="U15">
        <f>'14'!H20</f>
        <v>0</v>
      </c>
      <c r="V15">
        <f>IF($Y15='D-14A (Pivot)'!V$1, "Yes", 0)</f>
        <v>0</v>
      </c>
      <c r="W15">
        <f>IF($Y15='D-14A (Pivot)'!W$1, "Yes", 0)</f>
        <v>0</v>
      </c>
      <c r="X15">
        <f>IF($Y15='D-14A (Pivot)'!X$1, "Yes", 0)</f>
        <v>0</v>
      </c>
      <c r="Y15">
        <f>'14'!F20</f>
        <v>0</v>
      </c>
    </row>
    <row r="16" spans="1:25">
      <c r="A16">
        <f>'D-RP-1'!A$2</f>
        <v>0</v>
      </c>
      <c r="B16">
        <f>'D-RP-1'!B$2</f>
        <v>0</v>
      </c>
      <c r="C16">
        <f>'D-RP-1'!C$2</f>
        <v>0</v>
      </c>
      <c r="D16">
        <f>'D-RP-1'!D$2</f>
        <v>0</v>
      </c>
      <c r="E16">
        <f>'D-RP-1'!E$2</f>
        <v>0</v>
      </c>
      <c r="F16">
        <f>'D-RP-1'!F$2</f>
        <v>0</v>
      </c>
      <c r="G16">
        <f>'D-RP-1'!G$2</f>
        <v>0</v>
      </c>
      <c r="H16">
        <f>'D-RP-1'!H$2</f>
        <v>0</v>
      </c>
      <c r="I16">
        <f>'D-RP-1'!I$2</f>
        <v>0</v>
      </c>
      <c r="J16">
        <f>'D-RP-1'!J$2</f>
        <v>0</v>
      </c>
      <c r="K16">
        <f>'D-RP-1'!K$2</f>
        <v>0</v>
      </c>
      <c r="L16" t="str">
        <f>'D-RP-1'!L$2</f>
        <v>No Sales</v>
      </c>
      <c r="M16">
        <f>'D-RP-1'!M$2</f>
        <v>0</v>
      </c>
      <c r="N16" t="str">
        <f>'D-RP-1'!N$2</f>
        <v>Insufficient Data</v>
      </c>
      <c r="O16" t="str">
        <f>'D-RP-1'!O$2</f>
        <v>Insufficient Data</v>
      </c>
      <c r="P16" t="str">
        <f>'D-RP-1'!P$2</f>
        <v>Uncalculated</v>
      </c>
      <c r="Q16" s="591">
        <v>15</v>
      </c>
      <c r="R16" s="591" t="s">
        <v>538</v>
      </c>
      <c r="S16" t="str">
        <f t="shared" si="0"/>
        <v>No</v>
      </c>
      <c r="T16">
        <f>'14'!G21</f>
        <v>0</v>
      </c>
      <c r="U16">
        <f>'14'!H21</f>
        <v>0</v>
      </c>
      <c r="V16">
        <f>IF($Y16='D-14A (Pivot)'!V$1, "Yes", 0)</f>
        <v>0</v>
      </c>
      <c r="W16">
        <f>IF($Y16='D-14A (Pivot)'!W$1, "Yes", 0)</f>
        <v>0</v>
      </c>
      <c r="X16">
        <f>IF($Y16='D-14A (Pivot)'!X$1, "Yes", 0)</f>
        <v>0</v>
      </c>
      <c r="Y16">
        <f>'14'!F21</f>
        <v>0</v>
      </c>
    </row>
    <row r="17" spans="1:25">
      <c r="A17">
        <f>'D-RP-1'!A$2</f>
        <v>0</v>
      </c>
      <c r="B17">
        <f>'D-RP-1'!B$2</f>
        <v>0</v>
      </c>
      <c r="C17">
        <f>'D-RP-1'!C$2</f>
        <v>0</v>
      </c>
      <c r="D17">
        <f>'D-RP-1'!D$2</f>
        <v>0</v>
      </c>
      <c r="E17">
        <f>'D-RP-1'!E$2</f>
        <v>0</v>
      </c>
      <c r="F17">
        <f>'D-RP-1'!F$2</f>
        <v>0</v>
      </c>
      <c r="G17">
        <f>'D-RP-1'!G$2</f>
        <v>0</v>
      </c>
      <c r="H17">
        <f>'D-RP-1'!H$2</f>
        <v>0</v>
      </c>
      <c r="I17">
        <f>'D-RP-1'!I$2</f>
        <v>0</v>
      </c>
      <c r="J17">
        <f>'D-RP-1'!J$2</f>
        <v>0</v>
      </c>
      <c r="K17">
        <f>'D-RP-1'!K$2</f>
        <v>0</v>
      </c>
      <c r="L17" t="str">
        <f>'D-RP-1'!L$2</f>
        <v>No Sales</v>
      </c>
      <c r="M17">
        <f>'D-RP-1'!M$2</f>
        <v>0</v>
      </c>
      <c r="N17" t="str">
        <f>'D-RP-1'!N$2</f>
        <v>Insufficient Data</v>
      </c>
      <c r="O17" t="str">
        <f>'D-RP-1'!O$2</f>
        <v>Insufficient Data</v>
      </c>
      <c r="P17" t="str">
        <f>'D-RP-1'!P$2</f>
        <v>Uncalculated</v>
      </c>
      <c r="Q17" s="591">
        <v>16</v>
      </c>
      <c r="R17" s="591" t="s">
        <v>539</v>
      </c>
      <c r="S17" t="str">
        <f t="shared" si="0"/>
        <v>No</v>
      </c>
      <c r="T17">
        <f>'14'!G22</f>
        <v>0</v>
      </c>
      <c r="U17">
        <f>'14'!H22</f>
        <v>0</v>
      </c>
      <c r="V17">
        <f>IF($Y17='D-14A (Pivot)'!V$1, "Yes", 0)</f>
        <v>0</v>
      </c>
      <c r="W17">
        <f>IF($Y17='D-14A (Pivot)'!W$1, "Yes", 0)</f>
        <v>0</v>
      </c>
      <c r="X17">
        <f>IF($Y17='D-14A (Pivot)'!X$1, "Yes", 0)</f>
        <v>0</v>
      </c>
      <c r="Y17">
        <f>'14'!F22</f>
        <v>0</v>
      </c>
    </row>
    <row r="18" spans="1:25">
      <c r="A18">
        <f>'D-RP-1'!A$2</f>
        <v>0</v>
      </c>
      <c r="B18">
        <f>'D-RP-1'!B$2</f>
        <v>0</v>
      </c>
      <c r="C18">
        <f>'D-RP-1'!C$2</f>
        <v>0</v>
      </c>
      <c r="D18">
        <f>'D-RP-1'!D$2</f>
        <v>0</v>
      </c>
      <c r="E18">
        <f>'D-RP-1'!E$2</f>
        <v>0</v>
      </c>
      <c r="F18">
        <f>'D-RP-1'!F$2</f>
        <v>0</v>
      </c>
      <c r="G18">
        <f>'D-RP-1'!G$2</f>
        <v>0</v>
      </c>
      <c r="H18">
        <f>'D-RP-1'!H$2</f>
        <v>0</v>
      </c>
      <c r="I18">
        <f>'D-RP-1'!I$2</f>
        <v>0</v>
      </c>
      <c r="J18">
        <f>'D-RP-1'!J$2</f>
        <v>0</v>
      </c>
      <c r="K18">
        <f>'D-RP-1'!K$2</f>
        <v>0</v>
      </c>
      <c r="L18" t="str">
        <f>'D-RP-1'!L$2</f>
        <v>No Sales</v>
      </c>
      <c r="M18">
        <f>'D-RP-1'!M$2</f>
        <v>0</v>
      </c>
      <c r="N18" t="str">
        <f>'D-RP-1'!N$2</f>
        <v>Insufficient Data</v>
      </c>
      <c r="O18" t="str">
        <f>'D-RP-1'!O$2</f>
        <v>Insufficient Data</v>
      </c>
      <c r="P18" t="str">
        <f>'D-RP-1'!P$2</f>
        <v>Uncalculated</v>
      </c>
      <c r="Q18" s="591">
        <v>17</v>
      </c>
      <c r="R18" s="591" t="s">
        <v>969</v>
      </c>
      <c r="S18" t="str">
        <f t="shared" si="0"/>
        <v>No</v>
      </c>
      <c r="T18">
        <f>'14'!G23</f>
        <v>0</v>
      </c>
      <c r="U18">
        <f>'14'!H23</f>
        <v>0</v>
      </c>
      <c r="V18">
        <f>IF($Y18='D-14A (Pivot)'!V$1, "Yes", 0)</f>
        <v>0</v>
      </c>
      <c r="W18">
        <f>IF($Y18='D-14A (Pivot)'!W$1, "Yes", 0)</f>
        <v>0</v>
      </c>
      <c r="X18">
        <f>IF($Y18='D-14A (Pivot)'!X$1, "Yes", 0)</f>
        <v>0</v>
      </c>
      <c r="Y18">
        <f>'14'!F23</f>
        <v>0</v>
      </c>
    </row>
    <row r="19" spans="1:25">
      <c r="A19">
        <f>'D-RP-1'!A$2</f>
        <v>0</v>
      </c>
      <c r="B19">
        <f>'D-RP-1'!B$2</f>
        <v>0</v>
      </c>
      <c r="C19">
        <f>'D-RP-1'!C$2</f>
        <v>0</v>
      </c>
      <c r="D19">
        <f>'D-RP-1'!D$2</f>
        <v>0</v>
      </c>
      <c r="E19">
        <f>'D-RP-1'!E$2</f>
        <v>0</v>
      </c>
      <c r="F19">
        <f>'D-RP-1'!F$2</f>
        <v>0</v>
      </c>
      <c r="G19">
        <f>'D-RP-1'!G$2</f>
        <v>0</v>
      </c>
      <c r="H19">
        <f>'D-RP-1'!H$2</f>
        <v>0</v>
      </c>
      <c r="I19">
        <f>'D-RP-1'!I$2</f>
        <v>0</v>
      </c>
      <c r="J19">
        <f>'D-RP-1'!J$2</f>
        <v>0</v>
      </c>
      <c r="K19">
        <f>'D-RP-1'!K$2</f>
        <v>0</v>
      </c>
      <c r="L19" t="str">
        <f>'D-RP-1'!L$2</f>
        <v>No Sales</v>
      </c>
      <c r="M19">
        <f>'D-RP-1'!M$2</f>
        <v>0</v>
      </c>
      <c r="N19" t="str">
        <f>'D-RP-1'!N$2</f>
        <v>Insufficient Data</v>
      </c>
      <c r="O19" t="str">
        <f>'D-RP-1'!O$2</f>
        <v>Insufficient Data</v>
      </c>
      <c r="P19" t="str">
        <f>'D-RP-1'!P$2</f>
        <v>Uncalculated</v>
      </c>
      <c r="Q19" s="591">
        <v>18</v>
      </c>
      <c r="R19" s="591" t="s">
        <v>540</v>
      </c>
      <c r="S19" t="str">
        <f t="shared" si="0"/>
        <v>No</v>
      </c>
      <c r="T19">
        <f>'14'!G24</f>
        <v>0</v>
      </c>
      <c r="U19">
        <f>'14'!H24</f>
        <v>0</v>
      </c>
      <c r="V19">
        <f>IF($Y19='D-14A (Pivot)'!V$1, "Yes", 0)</f>
        <v>0</v>
      </c>
      <c r="W19">
        <f>IF($Y19='D-14A (Pivot)'!W$1, "Yes", 0)</f>
        <v>0</v>
      </c>
      <c r="X19">
        <f>IF($Y19='D-14A (Pivot)'!X$1, "Yes", 0)</f>
        <v>0</v>
      </c>
      <c r="Y19">
        <f>'14'!F24</f>
        <v>0</v>
      </c>
    </row>
    <row r="20" spans="1:25">
      <c r="A20">
        <f>'D-RP-1'!A$2</f>
        <v>0</v>
      </c>
      <c r="B20">
        <f>'D-RP-1'!B$2</f>
        <v>0</v>
      </c>
      <c r="C20">
        <f>'D-RP-1'!C$2</f>
        <v>0</v>
      </c>
      <c r="D20">
        <f>'D-RP-1'!D$2</f>
        <v>0</v>
      </c>
      <c r="E20">
        <f>'D-RP-1'!E$2</f>
        <v>0</v>
      </c>
      <c r="F20">
        <f>'D-RP-1'!F$2</f>
        <v>0</v>
      </c>
      <c r="G20">
        <f>'D-RP-1'!G$2</f>
        <v>0</v>
      </c>
      <c r="H20">
        <f>'D-RP-1'!H$2</f>
        <v>0</v>
      </c>
      <c r="I20">
        <f>'D-RP-1'!I$2</f>
        <v>0</v>
      </c>
      <c r="J20">
        <f>'D-RP-1'!J$2</f>
        <v>0</v>
      </c>
      <c r="K20">
        <f>'D-RP-1'!K$2</f>
        <v>0</v>
      </c>
      <c r="L20" t="str">
        <f>'D-RP-1'!L$2</f>
        <v>No Sales</v>
      </c>
      <c r="M20">
        <f>'D-RP-1'!M$2</f>
        <v>0</v>
      </c>
      <c r="N20" t="str">
        <f>'D-RP-1'!N$2</f>
        <v>Insufficient Data</v>
      </c>
      <c r="O20" t="str">
        <f>'D-RP-1'!O$2</f>
        <v>Insufficient Data</v>
      </c>
      <c r="P20" t="str">
        <f>'D-RP-1'!P$2</f>
        <v>Uncalculated</v>
      </c>
      <c r="Q20" s="591">
        <v>19</v>
      </c>
      <c r="R20" s="591" t="s">
        <v>541</v>
      </c>
      <c r="S20" t="str">
        <f t="shared" si="0"/>
        <v>No</v>
      </c>
      <c r="T20">
        <f>'14'!G25</f>
        <v>0</v>
      </c>
      <c r="U20">
        <f>'14'!H25</f>
        <v>0</v>
      </c>
      <c r="V20">
        <f>IF($Y20='D-14A (Pivot)'!V$1, "Yes", 0)</f>
        <v>0</v>
      </c>
      <c r="W20">
        <f>IF($Y20='D-14A (Pivot)'!W$1, "Yes", 0)</f>
        <v>0</v>
      </c>
      <c r="X20">
        <f>IF($Y20='D-14A (Pivot)'!X$1, "Yes", 0)</f>
        <v>0</v>
      </c>
      <c r="Y20">
        <f>'14'!F25</f>
        <v>0</v>
      </c>
    </row>
    <row r="21" spans="1:25">
      <c r="A21">
        <f>'D-RP-1'!A$2</f>
        <v>0</v>
      </c>
      <c r="B21">
        <f>'D-RP-1'!B$2</f>
        <v>0</v>
      </c>
      <c r="C21">
        <f>'D-RP-1'!C$2</f>
        <v>0</v>
      </c>
      <c r="D21">
        <f>'D-RP-1'!D$2</f>
        <v>0</v>
      </c>
      <c r="E21">
        <f>'D-RP-1'!E$2</f>
        <v>0</v>
      </c>
      <c r="F21">
        <f>'D-RP-1'!F$2</f>
        <v>0</v>
      </c>
      <c r="G21">
        <f>'D-RP-1'!G$2</f>
        <v>0</v>
      </c>
      <c r="H21">
        <f>'D-RP-1'!H$2</f>
        <v>0</v>
      </c>
      <c r="I21">
        <f>'D-RP-1'!I$2</f>
        <v>0</v>
      </c>
      <c r="J21">
        <f>'D-RP-1'!J$2</f>
        <v>0</v>
      </c>
      <c r="K21">
        <f>'D-RP-1'!K$2</f>
        <v>0</v>
      </c>
      <c r="L21" t="str">
        <f>'D-RP-1'!L$2</f>
        <v>No Sales</v>
      </c>
      <c r="M21">
        <f>'D-RP-1'!M$2</f>
        <v>0</v>
      </c>
      <c r="N21" t="str">
        <f>'D-RP-1'!N$2</f>
        <v>Insufficient Data</v>
      </c>
      <c r="O21" t="str">
        <f>'D-RP-1'!O$2</f>
        <v>Insufficient Data</v>
      </c>
      <c r="P21" t="str">
        <f>'D-RP-1'!P$2</f>
        <v>Uncalculated</v>
      </c>
      <c r="Q21" s="591">
        <v>20</v>
      </c>
      <c r="R21" s="591" t="s">
        <v>542</v>
      </c>
      <c r="S21" t="str">
        <f t="shared" si="0"/>
        <v>No</v>
      </c>
      <c r="T21">
        <f>'14'!G26</f>
        <v>0</v>
      </c>
      <c r="U21">
        <f>'14'!H26</f>
        <v>0</v>
      </c>
      <c r="V21">
        <f>IF($Y21='D-14A (Pivot)'!V$1, "Yes", 0)</f>
        <v>0</v>
      </c>
      <c r="W21">
        <f>IF($Y21='D-14A (Pivot)'!W$1, "Yes", 0)</f>
        <v>0</v>
      </c>
      <c r="X21">
        <f>IF($Y21='D-14A (Pivot)'!X$1, "Yes", 0)</f>
        <v>0</v>
      </c>
      <c r="Y21">
        <f>'14'!F26</f>
        <v>0</v>
      </c>
    </row>
    <row r="22" spans="1:25">
      <c r="A22">
        <f>'D-RP-1'!A$2</f>
        <v>0</v>
      </c>
      <c r="B22">
        <f>'D-RP-1'!B$2</f>
        <v>0</v>
      </c>
      <c r="C22">
        <f>'D-RP-1'!C$2</f>
        <v>0</v>
      </c>
      <c r="D22">
        <f>'D-RP-1'!D$2</f>
        <v>0</v>
      </c>
      <c r="E22">
        <f>'D-RP-1'!E$2</f>
        <v>0</v>
      </c>
      <c r="F22">
        <f>'D-RP-1'!F$2</f>
        <v>0</v>
      </c>
      <c r="G22">
        <f>'D-RP-1'!G$2</f>
        <v>0</v>
      </c>
      <c r="H22">
        <f>'D-RP-1'!H$2</f>
        <v>0</v>
      </c>
      <c r="I22">
        <f>'D-RP-1'!I$2</f>
        <v>0</v>
      </c>
      <c r="J22">
        <f>'D-RP-1'!J$2</f>
        <v>0</v>
      </c>
      <c r="K22">
        <f>'D-RP-1'!K$2</f>
        <v>0</v>
      </c>
      <c r="L22" t="str">
        <f>'D-RP-1'!L$2</f>
        <v>No Sales</v>
      </c>
      <c r="M22">
        <f>'D-RP-1'!M$2</f>
        <v>0</v>
      </c>
      <c r="N22" t="str">
        <f>'D-RP-1'!N$2</f>
        <v>Insufficient Data</v>
      </c>
      <c r="O22" t="str">
        <f>'D-RP-1'!O$2</f>
        <v>Insufficient Data</v>
      </c>
      <c r="P22" t="str">
        <f>'D-RP-1'!P$2</f>
        <v>Uncalculated</v>
      </c>
      <c r="Q22" s="591">
        <v>21</v>
      </c>
      <c r="R22" s="591" t="s">
        <v>543</v>
      </c>
      <c r="S22" t="str">
        <f t="shared" si="0"/>
        <v>No</v>
      </c>
      <c r="T22">
        <f>'14'!G27</f>
        <v>0</v>
      </c>
      <c r="U22">
        <f>'14'!H27</f>
        <v>0</v>
      </c>
      <c r="V22">
        <f>IF($Y22='D-14A (Pivot)'!V$1, "Yes", 0)</f>
        <v>0</v>
      </c>
      <c r="W22">
        <f>IF($Y22='D-14A (Pivot)'!W$1, "Yes", 0)</f>
        <v>0</v>
      </c>
      <c r="X22">
        <f>IF($Y22='D-14A (Pivot)'!X$1, "Yes", 0)</f>
        <v>0</v>
      </c>
      <c r="Y22">
        <f>'14'!F27</f>
        <v>0</v>
      </c>
    </row>
    <row r="23" spans="1:25">
      <c r="A23">
        <f>'D-RP-1'!A$2</f>
        <v>0</v>
      </c>
      <c r="B23">
        <f>'D-RP-1'!B$2</f>
        <v>0</v>
      </c>
      <c r="C23">
        <f>'D-RP-1'!C$2</f>
        <v>0</v>
      </c>
      <c r="D23">
        <f>'D-RP-1'!D$2</f>
        <v>0</v>
      </c>
      <c r="E23">
        <f>'D-RP-1'!E$2</f>
        <v>0</v>
      </c>
      <c r="F23">
        <f>'D-RP-1'!F$2</f>
        <v>0</v>
      </c>
      <c r="G23">
        <f>'D-RP-1'!G$2</f>
        <v>0</v>
      </c>
      <c r="H23">
        <f>'D-RP-1'!H$2</f>
        <v>0</v>
      </c>
      <c r="I23">
        <f>'D-RP-1'!I$2</f>
        <v>0</v>
      </c>
      <c r="J23">
        <f>'D-RP-1'!J$2</f>
        <v>0</v>
      </c>
      <c r="K23">
        <f>'D-RP-1'!K$2</f>
        <v>0</v>
      </c>
      <c r="L23" t="str">
        <f>'D-RP-1'!L$2</f>
        <v>No Sales</v>
      </c>
      <c r="M23">
        <f>'D-RP-1'!M$2</f>
        <v>0</v>
      </c>
      <c r="N23" t="str">
        <f>'D-RP-1'!N$2</f>
        <v>Insufficient Data</v>
      </c>
      <c r="O23" t="str">
        <f>'D-RP-1'!O$2</f>
        <v>Insufficient Data</v>
      </c>
      <c r="P23" t="str">
        <f>'D-RP-1'!P$2</f>
        <v>Uncalculated</v>
      </c>
      <c r="Q23" s="591">
        <v>22</v>
      </c>
      <c r="R23" s="591" t="s">
        <v>544</v>
      </c>
      <c r="S23" t="str">
        <f t="shared" si="0"/>
        <v>No</v>
      </c>
      <c r="T23">
        <f>'14'!G28</f>
        <v>0</v>
      </c>
      <c r="U23">
        <f>'14'!H28</f>
        <v>0</v>
      </c>
      <c r="V23">
        <f>IF($Y23='D-14A (Pivot)'!V$1, "Yes", 0)</f>
        <v>0</v>
      </c>
      <c r="W23">
        <f>IF($Y23='D-14A (Pivot)'!W$1, "Yes", 0)</f>
        <v>0</v>
      </c>
      <c r="X23">
        <f>IF($Y23='D-14A (Pivot)'!X$1, "Yes", 0)</f>
        <v>0</v>
      </c>
      <c r="Y23">
        <f>'14'!F28</f>
        <v>0</v>
      </c>
    </row>
    <row r="24" spans="1:25">
      <c r="A24">
        <f>'D-RP-1'!A$2</f>
        <v>0</v>
      </c>
      <c r="B24">
        <f>'D-RP-1'!B$2</f>
        <v>0</v>
      </c>
      <c r="C24">
        <f>'D-RP-1'!C$2</f>
        <v>0</v>
      </c>
      <c r="D24">
        <f>'D-RP-1'!D$2</f>
        <v>0</v>
      </c>
      <c r="E24">
        <f>'D-RP-1'!E$2</f>
        <v>0</v>
      </c>
      <c r="F24">
        <f>'D-RP-1'!F$2</f>
        <v>0</v>
      </c>
      <c r="G24">
        <f>'D-RP-1'!G$2</f>
        <v>0</v>
      </c>
      <c r="H24">
        <f>'D-RP-1'!H$2</f>
        <v>0</v>
      </c>
      <c r="I24">
        <f>'D-RP-1'!I$2</f>
        <v>0</v>
      </c>
      <c r="J24">
        <f>'D-RP-1'!J$2</f>
        <v>0</v>
      </c>
      <c r="K24">
        <f>'D-RP-1'!K$2</f>
        <v>0</v>
      </c>
      <c r="L24" t="str">
        <f>'D-RP-1'!L$2</f>
        <v>No Sales</v>
      </c>
      <c r="M24">
        <f>'D-RP-1'!M$2</f>
        <v>0</v>
      </c>
      <c r="N24" t="str">
        <f>'D-RP-1'!N$2</f>
        <v>Insufficient Data</v>
      </c>
      <c r="O24" t="str">
        <f>'D-RP-1'!O$2</f>
        <v>Insufficient Data</v>
      </c>
      <c r="P24" t="str">
        <f>'D-RP-1'!P$2</f>
        <v>Uncalculated</v>
      </c>
      <c r="Q24" s="591">
        <v>23</v>
      </c>
      <c r="R24" s="591" t="s">
        <v>970</v>
      </c>
      <c r="S24" t="str">
        <f t="shared" si="0"/>
        <v>No</v>
      </c>
      <c r="T24">
        <f>'14'!G29</f>
        <v>0</v>
      </c>
      <c r="U24">
        <f>'14'!H29</f>
        <v>0</v>
      </c>
      <c r="V24">
        <f>IF($Y24='D-14A (Pivot)'!V$1, "Yes", 0)</f>
        <v>0</v>
      </c>
      <c r="W24">
        <f>IF($Y24='D-14A (Pivot)'!W$1, "Yes", 0)</f>
        <v>0</v>
      </c>
      <c r="X24">
        <f>IF($Y24='D-14A (Pivot)'!X$1, "Yes", 0)</f>
        <v>0</v>
      </c>
      <c r="Y24">
        <f>'14'!F29</f>
        <v>0</v>
      </c>
    </row>
    <row r="25" spans="1:25">
      <c r="A25">
        <f>'D-RP-1'!A$2</f>
        <v>0</v>
      </c>
      <c r="B25">
        <f>'D-RP-1'!B$2</f>
        <v>0</v>
      </c>
      <c r="C25">
        <f>'D-RP-1'!C$2</f>
        <v>0</v>
      </c>
      <c r="D25">
        <f>'D-RP-1'!D$2</f>
        <v>0</v>
      </c>
      <c r="E25">
        <f>'D-RP-1'!E$2</f>
        <v>0</v>
      </c>
      <c r="F25">
        <f>'D-RP-1'!F$2</f>
        <v>0</v>
      </c>
      <c r="G25">
        <f>'D-RP-1'!G$2</f>
        <v>0</v>
      </c>
      <c r="H25">
        <f>'D-RP-1'!H$2</f>
        <v>0</v>
      </c>
      <c r="I25">
        <f>'D-RP-1'!I$2</f>
        <v>0</v>
      </c>
      <c r="J25">
        <f>'D-RP-1'!J$2</f>
        <v>0</v>
      </c>
      <c r="K25">
        <f>'D-RP-1'!K$2</f>
        <v>0</v>
      </c>
      <c r="L25" t="str">
        <f>'D-RP-1'!L$2</f>
        <v>No Sales</v>
      </c>
      <c r="M25">
        <f>'D-RP-1'!M$2</f>
        <v>0</v>
      </c>
      <c r="N25" t="str">
        <f>'D-RP-1'!N$2</f>
        <v>Insufficient Data</v>
      </c>
      <c r="O25" t="str">
        <f>'D-RP-1'!O$2</f>
        <v>Insufficient Data</v>
      </c>
      <c r="P25" t="str">
        <f>'D-RP-1'!P$2</f>
        <v>Uncalculated</v>
      </c>
      <c r="Q25" s="591">
        <v>24</v>
      </c>
      <c r="R25" s="591" t="s">
        <v>545</v>
      </c>
      <c r="S25" t="str">
        <f t="shared" si="0"/>
        <v>No</v>
      </c>
      <c r="T25">
        <f>'14'!G30</f>
        <v>0</v>
      </c>
      <c r="U25">
        <f>'14'!H30</f>
        <v>0</v>
      </c>
      <c r="V25">
        <f>IF($Y25='D-14A (Pivot)'!V$1, "Yes", 0)</f>
        <v>0</v>
      </c>
      <c r="W25">
        <f>IF($Y25='D-14A (Pivot)'!W$1, "Yes", 0)</f>
        <v>0</v>
      </c>
      <c r="X25">
        <f>IF($Y25='D-14A (Pivot)'!X$1, "Yes", 0)</f>
        <v>0</v>
      </c>
      <c r="Y25">
        <f>'14'!F30</f>
        <v>0</v>
      </c>
    </row>
    <row r="26" spans="1:25">
      <c r="A26">
        <f>'D-RP-1'!A$2</f>
        <v>0</v>
      </c>
      <c r="B26">
        <f>'D-RP-1'!B$2</f>
        <v>0</v>
      </c>
      <c r="C26">
        <f>'D-RP-1'!C$2</f>
        <v>0</v>
      </c>
      <c r="D26">
        <f>'D-RP-1'!D$2</f>
        <v>0</v>
      </c>
      <c r="E26">
        <f>'D-RP-1'!E$2</f>
        <v>0</v>
      </c>
      <c r="F26">
        <f>'D-RP-1'!F$2</f>
        <v>0</v>
      </c>
      <c r="G26">
        <f>'D-RP-1'!G$2</f>
        <v>0</v>
      </c>
      <c r="H26">
        <f>'D-RP-1'!H$2</f>
        <v>0</v>
      </c>
      <c r="I26">
        <f>'D-RP-1'!I$2</f>
        <v>0</v>
      </c>
      <c r="J26">
        <f>'D-RP-1'!J$2</f>
        <v>0</v>
      </c>
      <c r="K26">
        <f>'D-RP-1'!K$2</f>
        <v>0</v>
      </c>
      <c r="L26" t="str">
        <f>'D-RP-1'!L$2</f>
        <v>No Sales</v>
      </c>
      <c r="M26">
        <f>'D-RP-1'!M$2</f>
        <v>0</v>
      </c>
      <c r="N26" t="str">
        <f>'D-RP-1'!N$2</f>
        <v>Insufficient Data</v>
      </c>
      <c r="O26" t="str">
        <f>'D-RP-1'!O$2</f>
        <v>Insufficient Data</v>
      </c>
      <c r="P26" t="str">
        <f>'D-RP-1'!P$2</f>
        <v>Uncalculated</v>
      </c>
      <c r="Q26" s="591">
        <v>25</v>
      </c>
      <c r="R26" s="591" t="s">
        <v>839</v>
      </c>
      <c r="S26" t="str">
        <f t="shared" si="0"/>
        <v>No</v>
      </c>
      <c r="T26">
        <f>'14'!G31</f>
        <v>0</v>
      </c>
      <c r="U26">
        <f>'14'!H31</f>
        <v>0</v>
      </c>
      <c r="V26">
        <f>IF($Y26='D-14A (Pivot)'!V$1, "Yes", 0)</f>
        <v>0</v>
      </c>
      <c r="W26">
        <f>IF($Y26='D-14A (Pivot)'!W$1, "Yes", 0)</f>
        <v>0</v>
      </c>
      <c r="X26">
        <f>IF($Y26='D-14A (Pivot)'!X$1, "Yes", 0)</f>
        <v>0</v>
      </c>
      <c r="Y26">
        <f>'14'!F31</f>
        <v>0</v>
      </c>
    </row>
    <row r="27" spans="1:25">
      <c r="A27">
        <f>'D-RP-1'!A$2</f>
        <v>0</v>
      </c>
      <c r="B27">
        <f>'D-RP-1'!B$2</f>
        <v>0</v>
      </c>
      <c r="C27">
        <f>'D-RP-1'!C$2</f>
        <v>0</v>
      </c>
      <c r="D27">
        <f>'D-RP-1'!D$2</f>
        <v>0</v>
      </c>
      <c r="E27">
        <f>'D-RP-1'!E$2</f>
        <v>0</v>
      </c>
      <c r="F27">
        <f>'D-RP-1'!F$2</f>
        <v>0</v>
      </c>
      <c r="G27">
        <f>'D-RP-1'!G$2</f>
        <v>0</v>
      </c>
      <c r="H27">
        <f>'D-RP-1'!H$2</f>
        <v>0</v>
      </c>
      <c r="I27">
        <f>'D-RP-1'!I$2</f>
        <v>0</v>
      </c>
      <c r="J27">
        <f>'D-RP-1'!J$2</f>
        <v>0</v>
      </c>
      <c r="K27">
        <f>'D-RP-1'!K$2</f>
        <v>0</v>
      </c>
      <c r="L27" t="str">
        <f>'D-RP-1'!L$2</f>
        <v>No Sales</v>
      </c>
      <c r="M27">
        <f>'D-RP-1'!M$2</f>
        <v>0</v>
      </c>
      <c r="N27" t="str">
        <f>'D-RP-1'!N$2</f>
        <v>Insufficient Data</v>
      </c>
      <c r="O27" t="str">
        <f>'D-RP-1'!O$2</f>
        <v>Insufficient Data</v>
      </c>
      <c r="P27" t="str">
        <f>'D-RP-1'!P$2</f>
        <v>Uncalculated</v>
      </c>
      <c r="Q27" s="591">
        <v>26</v>
      </c>
      <c r="R27" s="591" t="s">
        <v>546</v>
      </c>
      <c r="S27" t="str">
        <f t="shared" si="0"/>
        <v>No</v>
      </c>
      <c r="T27">
        <f>'14'!G32</f>
        <v>0</v>
      </c>
      <c r="U27">
        <f>'14'!H32</f>
        <v>0</v>
      </c>
      <c r="V27">
        <f>IF($Y27='D-14A (Pivot)'!V$1, "Yes", 0)</f>
        <v>0</v>
      </c>
      <c r="W27">
        <f>IF($Y27='D-14A (Pivot)'!W$1, "Yes", 0)</f>
        <v>0</v>
      </c>
      <c r="X27">
        <f>IF($Y27='D-14A (Pivot)'!X$1, "Yes", 0)</f>
        <v>0</v>
      </c>
      <c r="Y27">
        <f>'14'!F32</f>
        <v>0</v>
      </c>
    </row>
    <row r="28" spans="1:25">
      <c r="A28">
        <f>'D-RP-1'!A$2</f>
        <v>0</v>
      </c>
      <c r="B28">
        <f>'D-RP-1'!B$2</f>
        <v>0</v>
      </c>
      <c r="C28">
        <f>'D-RP-1'!C$2</f>
        <v>0</v>
      </c>
      <c r="D28">
        <f>'D-RP-1'!D$2</f>
        <v>0</v>
      </c>
      <c r="E28">
        <f>'D-RP-1'!E$2</f>
        <v>0</v>
      </c>
      <c r="F28">
        <f>'D-RP-1'!F$2</f>
        <v>0</v>
      </c>
      <c r="G28">
        <f>'D-RP-1'!G$2</f>
        <v>0</v>
      </c>
      <c r="H28">
        <f>'D-RP-1'!H$2</f>
        <v>0</v>
      </c>
      <c r="I28">
        <f>'D-RP-1'!I$2</f>
        <v>0</v>
      </c>
      <c r="J28">
        <f>'D-RP-1'!J$2</f>
        <v>0</v>
      </c>
      <c r="K28">
        <f>'D-RP-1'!K$2</f>
        <v>0</v>
      </c>
      <c r="L28" t="str">
        <f>'D-RP-1'!L$2</f>
        <v>No Sales</v>
      </c>
      <c r="M28">
        <f>'D-RP-1'!M$2</f>
        <v>0</v>
      </c>
      <c r="N28" t="str">
        <f>'D-RP-1'!N$2</f>
        <v>Insufficient Data</v>
      </c>
      <c r="O28" t="str">
        <f>'D-RP-1'!O$2</f>
        <v>Insufficient Data</v>
      </c>
      <c r="P28" t="str">
        <f>'D-RP-1'!P$2</f>
        <v>Uncalculated</v>
      </c>
      <c r="Q28" s="591">
        <v>27</v>
      </c>
      <c r="R28" s="591" t="s">
        <v>60</v>
      </c>
      <c r="S28" t="str">
        <f t="shared" si="0"/>
        <v>No</v>
      </c>
      <c r="T28">
        <f>'14'!G33</f>
        <v>0</v>
      </c>
      <c r="U28">
        <f>'14'!H33</f>
        <v>0</v>
      </c>
      <c r="V28">
        <f>IF($Y28='D-14A (Pivot)'!V$1, "Yes", 0)</f>
        <v>0</v>
      </c>
      <c r="W28">
        <f>IF($Y28='D-14A (Pivot)'!W$1, "Yes", 0)</f>
        <v>0</v>
      </c>
      <c r="X28">
        <f>IF($Y28='D-14A (Pivot)'!X$1, "Yes", 0)</f>
        <v>0</v>
      </c>
      <c r="Y28">
        <f>'14'!F33</f>
        <v>0</v>
      </c>
    </row>
    <row r="29" spans="1:25">
      <c r="A29">
        <f>'D-RP-1'!A$2</f>
        <v>0</v>
      </c>
      <c r="B29">
        <f>'D-RP-1'!B$2</f>
        <v>0</v>
      </c>
      <c r="C29">
        <f>'D-RP-1'!C$2</f>
        <v>0</v>
      </c>
      <c r="D29">
        <f>'D-RP-1'!D$2</f>
        <v>0</v>
      </c>
      <c r="E29">
        <f>'D-RP-1'!E$2</f>
        <v>0</v>
      </c>
      <c r="F29">
        <f>'D-RP-1'!F$2</f>
        <v>0</v>
      </c>
      <c r="G29">
        <f>'D-RP-1'!G$2</f>
        <v>0</v>
      </c>
      <c r="H29">
        <f>'D-RP-1'!H$2</f>
        <v>0</v>
      </c>
      <c r="I29">
        <f>'D-RP-1'!I$2</f>
        <v>0</v>
      </c>
      <c r="J29">
        <f>'D-RP-1'!J$2</f>
        <v>0</v>
      </c>
      <c r="K29">
        <f>'D-RP-1'!K$2</f>
        <v>0</v>
      </c>
      <c r="L29" t="str">
        <f>'D-RP-1'!L$2</f>
        <v>No Sales</v>
      </c>
      <c r="M29">
        <f>'D-RP-1'!M$2</f>
        <v>0</v>
      </c>
      <c r="N29" t="str">
        <f>'D-RP-1'!N$2</f>
        <v>Insufficient Data</v>
      </c>
      <c r="O29" t="str">
        <f>'D-RP-1'!O$2</f>
        <v>Insufficient Data</v>
      </c>
      <c r="P29" t="str">
        <f>'D-RP-1'!P$2</f>
        <v>Uncalculated</v>
      </c>
      <c r="Q29" s="591">
        <v>28</v>
      </c>
      <c r="R29" s="591" t="s">
        <v>547</v>
      </c>
      <c r="S29" t="str">
        <f t="shared" si="0"/>
        <v>No</v>
      </c>
      <c r="T29">
        <f>'14'!G34</f>
        <v>0</v>
      </c>
      <c r="U29">
        <f>'14'!H34</f>
        <v>0</v>
      </c>
      <c r="V29">
        <f>IF($Y29='D-14A (Pivot)'!V$1, "Yes", 0)</f>
        <v>0</v>
      </c>
      <c r="W29">
        <f>IF($Y29='D-14A (Pivot)'!W$1, "Yes", 0)</f>
        <v>0</v>
      </c>
      <c r="X29">
        <f>IF($Y29='D-14A (Pivot)'!X$1, "Yes", 0)</f>
        <v>0</v>
      </c>
      <c r="Y29">
        <f>'14'!F34</f>
        <v>0</v>
      </c>
    </row>
    <row r="30" spans="1:25">
      <c r="A30">
        <f>'D-RP-1'!A$2</f>
        <v>0</v>
      </c>
      <c r="B30">
        <f>'D-RP-1'!B$2</f>
        <v>0</v>
      </c>
      <c r="C30">
        <f>'D-RP-1'!C$2</f>
        <v>0</v>
      </c>
      <c r="D30">
        <f>'D-RP-1'!D$2</f>
        <v>0</v>
      </c>
      <c r="E30">
        <f>'D-RP-1'!E$2</f>
        <v>0</v>
      </c>
      <c r="F30">
        <f>'D-RP-1'!F$2</f>
        <v>0</v>
      </c>
      <c r="G30">
        <f>'D-RP-1'!G$2</f>
        <v>0</v>
      </c>
      <c r="H30">
        <f>'D-RP-1'!H$2</f>
        <v>0</v>
      </c>
      <c r="I30">
        <f>'D-RP-1'!I$2</f>
        <v>0</v>
      </c>
      <c r="J30">
        <f>'D-RP-1'!J$2</f>
        <v>0</v>
      </c>
      <c r="K30">
        <f>'D-RP-1'!K$2</f>
        <v>0</v>
      </c>
      <c r="L30" t="str">
        <f>'D-RP-1'!L$2</f>
        <v>No Sales</v>
      </c>
      <c r="M30">
        <f>'D-RP-1'!M$2</f>
        <v>0</v>
      </c>
      <c r="N30" t="str">
        <f>'D-RP-1'!N$2</f>
        <v>Insufficient Data</v>
      </c>
      <c r="O30" t="str">
        <f>'D-RP-1'!O$2</f>
        <v>Insufficient Data</v>
      </c>
      <c r="P30" t="str">
        <f>'D-RP-1'!P$2</f>
        <v>Uncalculated</v>
      </c>
      <c r="Q30" s="591">
        <v>29</v>
      </c>
      <c r="R30" s="591" t="str">
        <f>'14'!D35</f>
        <v>(specify here)</v>
      </c>
      <c r="S30" t="str">
        <f t="shared" si="0"/>
        <v>No</v>
      </c>
      <c r="T30">
        <f>'14'!G35</f>
        <v>0</v>
      </c>
      <c r="U30">
        <f>'14'!H35</f>
        <v>0</v>
      </c>
      <c r="V30">
        <f>IF($Y30='D-14A (Pivot)'!V$1, "Yes", 0)</f>
        <v>0</v>
      </c>
      <c r="W30">
        <f>IF($Y30='D-14A (Pivot)'!W$1, "Yes", 0)</f>
        <v>0</v>
      </c>
      <c r="X30">
        <f>IF($Y30='D-14A (Pivot)'!X$1, "Yes", 0)</f>
        <v>0</v>
      </c>
      <c r="Y30">
        <f>'14'!F35</f>
        <v>0</v>
      </c>
    </row>
    <row r="56" spans="35:35">
      <c r="AI56" t="s">
        <v>405</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
  <sheetViews>
    <sheetView zoomScale="85" zoomScaleNormal="85" workbookViewId="0">
      <selection activeCell="A2" sqref="A2:P2"/>
    </sheetView>
  </sheetViews>
  <sheetFormatPr defaultRowHeight="15"/>
  <sheetData>
    <row r="1" spans="1:48">
      <c r="A1" s="627" t="s">
        <v>2226</v>
      </c>
      <c r="B1" s="627" t="s">
        <v>2227</v>
      </c>
      <c r="C1" s="627" t="s">
        <v>2228</v>
      </c>
      <c r="D1" s="627" t="s">
        <v>2229</v>
      </c>
      <c r="E1" s="627" t="s">
        <v>2230</v>
      </c>
      <c r="F1" s="627" t="s">
        <v>2231</v>
      </c>
      <c r="G1" s="627" t="s">
        <v>2232</v>
      </c>
      <c r="H1" s="627" t="s">
        <v>2233</v>
      </c>
      <c r="I1" s="627" t="s">
        <v>2234</v>
      </c>
      <c r="J1" s="627" t="s">
        <v>2235</v>
      </c>
      <c r="K1" s="627" t="s">
        <v>2236</v>
      </c>
      <c r="L1" s="627" t="s">
        <v>2237</v>
      </c>
      <c r="M1" s="627" t="s">
        <v>2241</v>
      </c>
      <c r="N1" s="627" t="s">
        <v>2239</v>
      </c>
      <c r="O1" s="627" t="s">
        <v>2240</v>
      </c>
      <c r="P1" s="627" t="s">
        <v>2238</v>
      </c>
      <c r="Q1" t="s">
        <v>2194</v>
      </c>
      <c r="R1" t="s">
        <v>2195</v>
      </c>
      <c r="S1" t="s">
        <v>2196</v>
      </c>
      <c r="T1" t="s">
        <v>2197</v>
      </c>
      <c r="U1" t="s">
        <v>2198</v>
      </c>
      <c r="V1" t="s">
        <v>2199</v>
      </c>
      <c r="W1" t="s">
        <v>2200</v>
      </c>
      <c r="X1" t="s">
        <v>2201</v>
      </c>
      <c r="Y1" t="s">
        <v>2202</v>
      </c>
      <c r="Z1" t="s">
        <v>2203</v>
      </c>
      <c r="AA1" t="s">
        <v>2204</v>
      </c>
      <c r="AB1" t="s">
        <v>2205</v>
      </c>
      <c r="AC1" t="s">
        <v>2206</v>
      </c>
      <c r="AD1" t="s">
        <v>2207</v>
      </c>
      <c r="AE1" t="s">
        <v>2208</v>
      </c>
      <c r="AF1" t="s">
        <v>2209</v>
      </c>
      <c r="AG1" t="s">
        <v>2210</v>
      </c>
      <c r="AH1" t="s">
        <v>2211</v>
      </c>
      <c r="AI1" t="s">
        <v>2212</v>
      </c>
      <c r="AJ1" t="s">
        <v>2213</v>
      </c>
      <c r="AK1" t="s">
        <v>2214</v>
      </c>
      <c r="AL1" t="s">
        <v>2215</v>
      </c>
      <c r="AM1" t="s">
        <v>2216</v>
      </c>
      <c r="AN1" t="s">
        <v>2217</v>
      </c>
      <c r="AO1" t="s">
        <v>2218</v>
      </c>
      <c r="AP1" t="s">
        <v>2219</v>
      </c>
      <c r="AQ1" t="s">
        <v>2220</v>
      </c>
      <c r="AR1" t="s">
        <v>2221</v>
      </c>
      <c r="AS1" t="s">
        <v>2222</v>
      </c>
      <c r="AT1" t="s">
        <v>2223</v>
      </c>
      <c r="AU1" t="s">
        <v>2224</v>
      </c>
      <c r="AV1" t="s">
        <v>2225</v>
      </c>
    </row>
    <row r="2" spans="1:48">
      <c r="A2">
        <f>'D-RP-1'!A$2</f>
        <v>0</v>
      </c>
      <c r="B2">
        <f>'D-RP-1'!B$2</f>
        <v>0</v>
      </c>
      <c r="C2">
        <f>'D-RP-1'!C$2</f>
        <v>0</v>
      </c>
      <c r="D2">
        <f>'D-RP-1'!D$2</f>
        <v>0</v>
      </c>
      <c r="E2">
        <f>'D-RP-1'!E$2</f>
        <v>0</v>
      </c>
      <c r="F2">
        <f>'D-RP-1'!F$2</f>
        <v>0</v>
      </c>
      <c r="G2">
        <f>'D-RP-1'!G$2</f>
        <v>0</v>
      </c>
      <c r="H2">
        <f>'D-RP-1'!H$2</f>
        <v>0</v>
      </c>
      <c r="I2">
        <f>'D-RP-1'!I$2</f>
        <v>0</v>
      </c>
      <c r="J2">
        <f>'D-RP-1'!J$2</f>
        <v>0</v>
      </c>
      <c r="K2">
        <f>'D-RP-1'!K$2</f>
        <v>0</v>
      </c>
      <c r="L2" t="str">
        <f>'D-RP-1'!L$2</f>
        <v>No Sales</v>
      </c>
      <c r="M2">
        <f>'D-RP-1'!M$2</f>
        <v>0</v>
      </c>
      <c r="N2" t="str">
        <f>'D-RP-1'!N$2</f>
        <v>Insufficient Data</v>
      </c>
      <c r="O2" t="str">
        <f>'D-RP-1'!O$2</f>
        <v>Insufficient Data</v>
      </c>
      <c r="P2" t="str">
        <f>'D-RP-1'!P$2</f>
        <v>Uncalculated</v>
      </c>
      <c r="Q2">
        <f>Q14_B_LeanMfg</f>
        <v>0</v>
      </c>
      <c r="R2">
        <f>Q14_B_MarketExpansion</f>
        <v>0</v>
      </c>
      <c r="S2">
        <f>Q14_B_Cyber</f>
        <v>0</v>
      </c>
      <c r="T2">
        <f>Q14_B_ProdDesign</f>
        <v>0</v>
      </c>
      <c r="U2">
        <f>Q14_B_DesignforAssembly</f>
        <v>0</v>
      </c>
      <c r="V2">
        <f>Q14_B_Prototyping</f>
        <v>0</v>
      </c>
      <c r="W2">
        <f>Q14_B_DesignMfg</f>
        <v>0</v>
      </c>
      <c r="X2">
        <f>Q14_B_QualityControl</f>
        <v>0</v>
      </c>
      <c r="Y2">
        <f>Q14_B_Energy</f>
        <v>0</v>
      </c>
      <c r="Z2">
        <f>Q14_B_SBIR</f>
        <v>0</v>
      </c>
      <c r="AA2">
        <f>Q14_B_ExportAssist</f>
        <v>0</v>
      </c>
      <c r="AB2">
        <f>Q14_B_SupplyChain</f>
        <v>0</v>
      </c>
      <c r="AC2">
        <f>Q14_B_ExportLicense</f>
        <v>0</v>
      </c>
      <c r="AD2">
        <f>Q14_B_TechAccel</f>
        <v>0</v>
      </c>
      <c r="AE2">
        <f>Q14_B_GovtProcurement</f>
        <v>0</v>
      </c>
      <c r="AF2">
        <f>Q14_B_MatSourcing</f>
        <v>0</v>
      </c>
      <c r="AG2" t="str">
        <f>Q14_B_Other1_Specify</f>
        <v>(specify here)</v>
      </c>
      <c r="AH2">
        <f>Q14_B_Other1</f>
        <v>0</v>
      </c>
      <c r="AI2" t="str">
        <f>Q14_B_Other2_Specify</f>
        <v>(specify here)</v>
      </c>
      <c r="AJ2">
        <f>Q14_B_Other2</f>
        <v>0</v>
      </c>
      <c r="AK2">
        <f>Q14_Comment</f>
        <v>0</v>
      </c>
      <c r="AL2">
        <f>Q15_FacilityName</f>
        <v>0</v>
      </c>
      <c r="AM2">
        <f>Q15_OrgName</f>
        <v>0</v>
      </c>
      <c r="AN2">
        <f>Q15_OrgWebsite</f>
        <v>0</v>
      </c>
      <c r="AO2">
        <f>Q15_AuthName</f>
        <v>0</v>
      </c>
      <c r="AP2">
        <f>Q15_AuthTitle</f>
        <v>0</v>
      </c>
      <c r="AQ2">
        <f>Q15_AuthEmail</f>
        <v>0</v>
      </c>
      <c r="AR2">
        <f>Q15_AuthPhone</f>
        <v>0</v>
      </c>
      <c r="AS2">
        <f>Q15_DateCert</f>
        <v>0</v>
      </c>
      <c r="AT2">
        <f>Q15_Comment</f>
        <v>0</v>
      </c>
      <c r="AU2">
        <f>Q15_Hours</f>
        <v>0</v>
      </c>
      <c r="AV2">
        <f>EstComp</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9"/>
  <sheetViews>
    <sheetView showGridLines="0" showRowColHeaders="0" zoomScaleNormal="100" workbookViewId="0"/>
  </sheetViews>
  <sheetFormatPr defaultColWidth="8.85546875" defaultRowHeight="12.75"/>
  <cols>
    <col min="1" max="1" width="8.5703125" style="12" customWidth="1"/>
    <col min="2" max="2" width="3.85546875" style="12" customWidth="1"/>
    <col min="3" max="3" width="2.5703125" style="12" customWidth="1"/>
    <col min="4" max="4" width="25" style="12" customWidth="1"/>
    <col min="5" max="6" width="14.28515625" style="12" customWidth="1"/>
    <col min="7" max="7" width="27.85546875" style="12" customWidth="1"/>
    <col min="8" max="8" width="19" style="12" customWidth="1"/>
    <col min="9" max="9" width="14.28515625" style="12" customWidth="1"/>
    <col min="10" max="10" width="26.140625" style="12" customWidth="1"/>
    <col min="11" max="15" width="8.85546875" style="12"/>
    <col min="16" max="16" width="11.28515625" style="12" customWidth="1"/>
    <col min="17" max="16384" width="8.85546875" style="12"/>
  </cols>
  <sheetData>
    <row r="1" spans="1:13" ht="13.5" customHeight="1" thickBot="1">
      <c r="A1" s="45"/>
      <c r="B1" s="45"/>
      <c r="C1" s="45"/>
      <c r="D1" s="45"/>
      <c r="E1" s="45"/>
      <c r="F1" s="45"/>
      <c r="G1" s="45"/>
      <c r="H1" s="45"/>
      <c r="I1" s="45"/>
      <c r="J1" s="45"/>
    </row>
    <row r="2" spans="1:13" ht="13.5" customHeight="1" thickBot="1">
      <c r="A2" s="45"/>
      <c r="B2" s="655" t="s">
        <v>487</v>
      </c>
      <c r="C2" s="656"/>
      <c r="D2" s="656"/>
      <c r="E2" s="657" t="s">
        <v>1204</v>
      </c>
      <c r="F2" s="657"/>
      <c r="G2" s="657"/>
      <c r="H2" s="657"/>
      <c r="I2" s="183"/>
      <c r="J2" s="113" t="s">
        <v>486</v>
      </c>
    </row>
    <row r="3" spans="1:13" ht="13.5" customHeight="1" thickBot="1">
      <c r="A3" s="45"/>
      <c r="B3" s="806" t="s">
        <v>1400</v>
      </c>
      <c r="C3" s="836"/>
      <c r="D3" s="836"/>
      <c r="E3" s="836"/>
      <c r="F3" s="836"/>
      <c r="G3" s="836"/>
      <c r="H3" s="836"/>
      <c r="I3" s="836"/>
      <c r="J3" s="837"/>
    </row>
    <row r="4" spans="1:13" ht="33" customHeight="1">
      <c r="A4" s="45"/>
      <c r="B4" s="781" t="s">
        <v>5</v>
      </c>
      <c r="C4" s="856" t="s">
        <v>1357</v>
      </c>
      <c r="D4" s="857"/>
      <c r="E4" s="857"/>
      <c r="F4" s="857"/>
      <c r="G4" s="857"/>
      <c r="H4" s="857"/>
      <c r="I4" s="857"/>
      <c r="J4" s="858"/>
      <c r="M4" s="14"/>
    </row>
    <row r="5" spans="1:13" ht="30" customHeight="1">
      <c r="A5" s="45"/>
      <c r="B5" s="782"/>
      <c r="C5" s="761" t="s">
        <v>610</v>
      </c>
      <c r="D5" s="762"/>
      <c r="E5" s="762"/>
      <c r="F5" s="172" t="s">
        <v>611</v>
      </c>
      <c r="G5" s="306" t="s">
        <v>36</v>
      </c>
      <c r="H5" s="172" t="s">
        <v>37</v>
      </c>
      <c r="I5" s="307" t="s">
        <v>977</v>
      </c>
      <c r="J5" s="173" t="s">
        <v>42</v>
      </c>
      <c r="M5" s="14"/>
    </row>
    <row r="6" spans="1:13" ht="12.75" customHeight="1">
      <c r="A6" s="45"/>
      <c r="B6" s="838"/>
      <c r="C6" s="817"/>
      <c r="D6" s="818"/>
      <c r="E6" s="819"/>
      <c r="F6" s="422"/>
      <c r="G6" s="581"/>
      <c r="H6" s="582"/>
      <c r="I6" s="582"/>
      <c r="J6" s="583"/>
      <c r="M6" s="14"/>
    </row>
    <row r="7" spans="1:13" ht="12.75" customHeight="1">
      <c r="A7" s="45"/>
      <c r="B7" s="838"/>
      <c r="C7" s="817"/>
      <c r="D7" s="818"/>
      <c r="E7" s="819"/>
      <c r="F7" s="422"/>
      <c r="G7" s="581"/>
      <c r="H7" s="582"/>
      <c r="I7" s="582"/>
      <c r="J7" s="583"/>
      <c r="M7" s="14"/>
    </row>
    <row r="8" spans="1:13" ht="12.75" customHeight="1">
      <c r="A8" s="45"/>
      <c r="B8" s="838"/>
      <c r="C8" s="817"/>
      <c r="D8" s="818"/>
      <c r="E8" s="819"/>
      <c r="F8" s="422"/>
      <c r="G8" s="581"/>
      <c r="H8" s="582"/>
      <c r="I8" s="582"/>
      <c r="J8" s="583"/>
      <c r="M8" s="14"/>
    </row>
    <row r="9" spans="1:13" ht="12.75" customHeight="1">
      <c r="A9" s="45"/>
      <c r="B9" s="838"/>
      <c r="C9" s="817"/>
      <c r="D9" s="818"/>
      <c r="E9" s="819"/>
      <c r="F9" s="422"/>
      <c r="G9" s="581"/>
      <c r="H9" s="582"/>
      <c r="I9" s="582"/>
      <c r="J9" s="583"/>
      <c r="M9" s="14"/>
    </row>
    <row r="10" spans="1:13" ht="12.75" customHeight="1">
      <c r="A10" s="45"/>
      <c r="B10" s="838"/>
      <c r="C10" s="817"/>
      <c r="D10" s="818"/>
      <c r="E10" s="819"/>
      <c r="F10" s="422"/>
      <c r="G10" s="581"/>
      <c r="H10" s="582"/>
      <c r="I10" s="582"/>
      <c r="J10" s="583"/>
      <c r="M10" s="14"/>
    </row>
    <row r="11" spans="1:13" ht="12.75" customHeight="1">
      <c r="A11" s="45"/>
      <c r="B11" s="838"/>
      <c r="C11" s="817"/>
      <c r="D11" s="818"/>
      <c r="E11" s="819"/>
      <c r="F11" s="422"/>
      <c r="G11" s="581"/>
      <c r="H11" s="582"/>
      <c r="I11" s="582"/>
      <c r="J11" s="583"/>
      <c r="M11" s="14"/>
    </row>
    <row r="12" spans="1:13" ht="12.75" customHeight="1">
      <c r="A12" s="45"/>
      <c r="B12" s="838"/>
      <c r="C12" s="817"/>
      <c r="D12" s="818"/>
      <c r="E12" s="819"/>
      <c r="F12" s="422"/>
      <c r="G12" s="581"/>
      <c r="H12" s="582"/>
      <c r="I12" s="582"/>
      <c r="J12" s="583"/>
      <c r="M12" s="14"/>
    </row>
    <row r="13" spans="1:13" ht="12.75" customHeight="1">
      <c r="A13" s="45"/>
      <c r="B13" s="838"/>
      <c r="C13" s="817"/>
      <c r="D13" s="818"/>
      <c r="E13" s="819"/>
      <c r="F13" s="422"/>
      <c r="G13" s="581"/>
      <c r="H13" s="582"/>
      <c r="I13" s="582"/>
      <c r="J13" s="583"/>
      <c r="M13" s="14"/>
    </row>
    <row r="14" spans="1:13" ht="12.75" customHeight="1">
      <c r="A14" s="45"/>
      <c r="B14" s="838"/>
      <c r="C14" s="817"/>
      <c r="D14" s="818"/>
      <c r="E14" s="819"/>
      <c r="F14" s="422"/>
      <c r="G14" s="581"/>
      <c r="H14" s="582"/>
      <c r="I14" s="582"/>
      <c r="J14" s="583"/>
      <c r="M14" s="14"/>
    </row>
    <row r="15" spans="1:13" ht="12.75" customHeight="1" thickBot="1">
      <c r="A15" s="45"/>
      <c r="B15" s="783"/>
      <c r="C15" s="792"/>
      <c r="D15" s="847"/>
      <c r="E15" s="793"/>
      <c r="F15" s="423"/>
      <c r="G15" s="579"/>
      <c r="H15" s="584"/>
      <c r="I15" s="584"/>
      <c r="J15" s="580"/>
      <c r="M15" s="14"/>
    </row>
    <row r="16" spans="1:13" s="45" customFormat="1" ht="24" customHeight="1">
      <c r="B16" s="840" t="s">
        <v>7</v>
      </c>
      <c r="C16" s="850" t="s">
        <v>1763</v>
      </c>
      <c r="D16" s="851"/>
      <c r="E16" s="851"/>
      <c r="F16" s="851"/>
      <c r="G16" s="851"/>
      <c r="H16" s="851"/>
      <c r="I16" s="851"/>
      <c r="J16" s="852"/>
    </row>
    <row r="17" spans="2:19" s="45" customFormat="1" ht="12.75" customHeight="1">
      <c r="B17" s="838"/>
      <c r="C17" s="831" t="s">
        <v>108</v>
      </c>
      <c r="D17" s="832"/>
      <c r="E17" s="815"/>
      <c r="F17" s="827"/>
      <c r="G17" s="831" t="s">
        <v>1360</v>
      </c>
      <c r="H17" s="832"/>
      <c r="I17" s="815"/>
      <c r="J17" s="816"/>
    </row>
    <row r="18" spans="2:19" s="45" customFormat="1" ht="12.75" customHeight="1">
      <c r="B18" s="838"/>
      <c r="C18" s="820"/>
      <c r="D18" s="821"/>
      <c r="E18" s="815"/>
      <c r="F18" s="827"/>
      <c r="G18" s="820"/>
      <c r="H18" s="821"/>
      <c r="I18" s="815"/>
      <c r="J18" s="816"/>
    </row>
    <row r="19" spans="2:19" s="45" customFormat="1" ht="12.75" customHeight="1">
      <c r="B19" s="838"/>
      <c r="C19" s="820"/>
      <c r="D19" s="821"/>
      <c r="E19" s="815"/>
      <c r="F19" s="827"/>
      <c r="G19" s="820"/>
      <c r="H19" s="821"/>
      <c r="I19" s="815"/>
      <c r="J19" s="816"/>
    </row>
    <row r="20" spans="2:19" s="45" customFormat="1" ht="12.75" customHeight="1">
      <c r="B20" s="838"/>
      <c r="C20" s="295"/>
      <c r="D20" s="296"/>
      <c r="E20" s="815"/>
      <c r="F20" s="827"/>
      <c r="G20" s="295"/>
      <c r="H20" s="296"/>
      <c r="I20" s="815"/>
      <c r="J20" s="816"/>
      <c r="N20" s="44"/>
      <c r="O20" s="44"/>
      <c r="P20" s="46"/>
      <c r="Q20" s="46"/>
      <c r="R20" s="46"/>
    </row>
    <row r="21" spans="2:19" s="45" customFormat="1" ht="12.75" customHeight="1">
      <c r="B21" s="838"/>
      <c r="C21" s="295"/>
      <c r="D21" s="296"/>
      <c r="E21" s="815"/>
      <c r="F21" s="827"/>
      <c r="G21" s="295"/>
      <c r="H21" s="296"/>
      <c r="I21" s="815"/>
      <c r="J21" s="816"/>
      <c r="N21" s="13"/>
      <c r="O21" s="13"/>
      <c r="P21" s="13"/>
      <c r="Q21" s="13"/>
      <c r="R21" s="13"/>
      <c r="S21" s="13"/>
    </row>
    <row r="22" spans="2:19" s="45" customFormat="1" ht="12.75" customHeight="1">
      <c r="B22" s="838"/>
      <c r="C22" s="820" t="s">
        <v>1358</v>
      </c>
      <c r="D22" s="821"/>
      <c r="E22" s="815"/>
      <c r="F22" s="827"/>
      <c r="G22" s="820" t="s">
        <v>1361</v>
      </c>
      <c r="H22" s="821"/>
      <c r="I22" s="815"/>
      <c r="J22" s="816"/>
      <c r="N22" s="13"/>
      <c r="O22" s="13"/>
      <c r="P22" s="13"/>
      <c r="Q22" s="13"/>
      <c r="R22" s="13"/>
      <c r="S22" s="13"/>
    </row>
    <row r="23" spans="2:19" s="45" customFormat="1" ht="12.75" customHeight="1">
      <c r="B23" s="838"/>
      <c r="C23" s="844" t="s">
        <v>1359</v>
      </c>
      <c r="D23" s="845"/>
      <c r="E23" s="815"/>
      <c r="F23" s="827"/>
      <c r="G23" s="848" t="s">
        <v>1362</v>
      </c>
      <c r="H23" s="849"/>
      <c r="I23" s="815"/>
      <c r="J23" s="816"/>
      <c r="N23" s="13"/>
      <c r="O23" s="13"/>
      <c r="P23" s="13"/>
      <c r="Q23" s="13"/>
      <c r="R23" s="13"/>
      <c r="S23" s="13"/>
    </row>
    <row r="24" spans="2:19" s="45" customFormat="1" ht="12.75" customHeight="1">
      <c r="B24" s="838"/>
      <c r="C24" s="295"/>
      <c r="D24" s="296"/>
      <c r="E24" s="815"/>
      <c r="F24" s="827"/>
      <c r="G24" s="848"/>
      <c r="H24" s="849"/>
      <c r="I24" s="815"/>
      <c r="J24" s="816"/>
      <c r="N24" s="13"/>
      <c r="O24" s="13"/>
      <c r="P24" s="13"/>
      <c r="Q24" s="13"/>
      <c r="R24" s="13"/>
      <c r="S24" s="13"/>
    </row>
    <row r="25" spans="2:19" s="45" customFormat="1" ht="12.75" customHeight="1">
      <c r="B25" s="838"/>
      <c r="C25" s="295"/>
      <c r="D25" s="296"/>
      <c r="E25" s="815"/>
      <c r="F25" s="827"/>
      <c r="G25" s="295"/>
      <c r="H25" s="296"/>
      <c r="I25" s="815"/>
      <c r="J25" s="816"/>
      <c r="N25" s="13"/>
      <c r="O25" s="13"/>
      <c r="P25" s="13"/>
      <c r="Q25" s="13"/>
      <c r="R25" s="13"/>
      <c r="S25" s="13"/>
    </row>
    <row r="26" spans="2:19" s="45" customFormat="1" ht="12.75" customHeight="1" thickBot="1">
      <c r="B26" s="783"/>
      <c r="C26" s="297"/>
      <c r="D26" s="298"/>
      <c r="E26" s="764"/>
      <c r="F26" s="765"/>
      <c r="G26" s="297"/>
      <c r="H26" s="298"/>
      <c r="I26" s="764"/>
      <c r="J26" s="823"/>
      <c r="N26" s="13"/>
      <c r="O26" s="13"/>
      <c r="P26" s="13"/>
      <c r="Q26" s="13"/>
      <c r="R26" s="13"/>
      <c r="S26" s="13"/>
    </row>
    <row r="27" spans="2:19" s="47" customFormat="1" ht="22.5" customHeight="1">
      <c r="B27" s="840" t="s">
        <v>8</v>
      </c>
      <c r="C27" s="839" t="s">
        <v>444</v>
      </c>
      <c r="D27" s="798"/>
      <c r="E27" s="798"/>
      <c r="F27" s="798"/>
      <c r="G27" s="798"/>
      <c r="H27" s="798"/>
      <c r="I27" s="798"/>
      <c r="J27" s="799"/>
      <c r="N27" s="13"/>
      <c r="O27" s="13"/>
      <c r="P27" s="13"/>
      <c r="Q27" s="13"/>
      <c r="R27" s="13"/>
      <c r="S27" s="13"/>
    </row>
    <row r="28" spans="2:19" s="47" customFormat="1" ht="12.75" customHeight="1">
      <c r="B28" s="838"/>
      <c r="C28" s="324">
        <v>1</v>
      </c>
      <c r="D28" s="841" t="s">
        <v>49</v>
      </c>
      <c r="E28" s="842"/>
      <c r="F28" s="842"/>
      <c r="G28" s="842"/>
      <c r="H28" s="843"/>
      <c r="I28" s="817"/>
      <c r="J28" s="822"/>
      <c r="N28" s="13"/>
      <c r="O28" s="13"/>
      <c r="P28" s="13"/>
      <c r="Q28" s="13"/>
      <c r="R28" s="13"/>
      <c r="S28" s="13"/>
    </row>
    <row r="29" spans="2:19" s="47" customFormat="1" ht="12.75" customHeight="1">
      <c r="B29" s="838"/>
      <c r="C29" s="317">
        <v>2</v>
      </c>
      <c r="D29" s="841" t="s">
        <v>50</v>
      </c>
      <c r="E29" s="842"/>
      <c r="F29" s="842"/>
      <c r="G29" s="842"/>
      <c r="H29" s="843"/>
      <c r="I29" s="817"/>
      <c r="J29" s="822"/>
      <c r="N29" s="12"/>
      <c r="O29" s="12"/>
      <c r="P29" s="12"/>
      <c r="Q29" s="12"/>
      <c r="R29" s="12"/>
      <c r="S29" s="12"/>
    </row>
    <row r="30" spans="2:19" s="47" customFormat="1" ht="12.75" customHeight="1">
      <c r="B30" s="838"/>
      <c r="C30" s="317">
        <v>3</v>
      </c>
      <c r="D30" s="841" t="s">
        <v>51</v>
      </c>
      <c r="E30" s="842"/>
      <c r="F30" s="842"/>
      <c r="G30" s="842"/>
      <c r="H30" s="843"/>
      <c r="I30" s="817"/>
      <c r="J30" s="822"/>
    </row>
    <row r="31" spans="2:19" s="47" customFormat="1" ht="12.75" customHeight="1">
      <c r="B31" s="838"/>
      <c r="C31" s="317">
        <v>4</v>
      </c>
      <c r="D31" s="841" t="s">
        <v>52</v>
      </c>
      <c r="E31" s="842"/>
      <c r="F31" s="842"/>
      <c r="G31" s="842"/>
      <c r="H31" s="843"/>
      <c r="I31" s="817"/>
      <c r="J31" s="822"/>
    </row>
    <row r="32" spans="2:19" s="47" customFormat="1" ht="12.75" customHeight="1">
      <c r="B32" s="838"/>
      <c r="C32" s="317">
        <v>5</v>
      </c>
      <c r="D32" s="853" t="s">
        <v>53</v>
      </c>
      <c r="E32" s="854"/>
      <c r="F32" s="854"/>
      <c r="G32" s="854"/>
      <c r="H32" s="855"/>
      <c r="I32" s="817"/>
      <c r="J32" s="822"/>
    </row>
    <row r="33" spans="1:11" s="47" customFormat="1" ht="12.75" customHeight="1" thickBot="1">
      <c r="B33" s="783"/>
      <c r="C33" s="332">
        <v>6</v>
      </c>
      <c r="D33" s="772" t="s">
        <v>1324</v>
      </c>
      <c r="E33" s="773"/>
      <c r="F33" s="773"/>
      <c r="G33" s="773"/>
      <c r="H33" s="774"/>
      <c r="I33" s="792"/>
      <c r="J33" s="846"/>
    </row>
    <row r="34" spans="1:11" s="13" customFormat="1" ht="31.5" customHeight="1">
      <c r="A34" s="47"/>
      <c r="B34" s="828" t="s">
        <v>48</v>
      </c>
      <c r="C34" s="829"/>
      <c r="D34" s="830"/>
      <c r="E34" s="833"/>
      <c r="F34" s="834"/>
      <c r="G34" s="834"/>
      <c r="H34" s="834"/>
      <c r="I34" s="834"/>
      <c r="J34" s="835"/>
    </row>
    <row r="35" spans="1:11" s="13" customFormat="1" ht="15" customHeight="1">
      <c r="A35" s="47"/>
      <c r="B35" s="824" t="s">
        <v>4</v>
      </c>
      <c r="C35" s="825"/>
      <c r="D35" s="825"/>
      <c r="E35" s="825"/>
      <c r="F35" s="825"/>
      <c r="G35" s="825"/>
      <c r="H35" s="825"/>
      <c r="I35" s="825"/>
      <c r="J35" s="826"/>
    </row>
    <row r="36" spans="1:11" s="13" customFormat="1" ht="15" customHeight="1" thickBot="1">
      <c r="A36" s="47"/>
      <c r="B36" s="778"/>
      <c r="C36" s="779"/>
      <c r="D36" s="779"/>
      <c r="E36" s="779"/>
      <c r="F36" s="779"/>
      <c r="G36" s="779"/>
      <c r="H36" s="779"/>
      <c r="I36" s="779"/>
      <c r="J36" s="780"/>
    </row>
    <row r="37" spans="1:11" s="13" customFormat="1" ht="14.25" customHeight="1">
      <c r="B37" s="12"/>
      <c r="C37" s="12"/>
      <c r="D37" s="12"/>
      <c r="E37" s="12"/>
      <c r="F37" s="12"/>
      <c r="G37" s="12"/>
      <c r="H37" s="12"/>
      <c r="I37" s="12"/>
      <c r="J37" s="12"/>
    </row>
    <row r="38" spans="1:11" s="13" customFormat="1" ht="14.25" customHeight="1">
      <c r="B38" s="12"/>
      <c r="C38" s="12"/>
      <c r="D38" s="12"/>
      <c r="E38" s="12"/>
      <c r="F38" s="12"/>
      <c r="G38" s="12"/>
      <c r="H38" s="12"/>
      <c r="I38" s="12"/>
      <c r="J38" s="12"/>
    </row>
    <row r="39" spans="1:11" s="13" customFormat="1" ht="14.25" customHeight="1">
      <c r="B39" s="12"/>
      <c r="C39" s="12"/>
      <c r="D39" s="12"/>
      <c r="E39" s="12"/>
      <c r="F39" s="12"/>
      <c r="G39" s="12"/>
      <c r="H39" s="12"/>
      <c r="I39" s="12"/>
      <c r="J39" s="12"/>
    </row>
    <row r="40" spans="1:11" s="13" customFormat="1" ht="14.25" customHeight="1">
      <c r="B40" s="12"/>
      <c r="C40" s="12"/>
      <c r="D40" s="12"/>
      <c r="E40" s="12"/>
      <c r="F40" s="12"/>
      <c r="G40" s="12"/>
      <c r="H40" s="12"/>
      <c r="I40" s="12"/>
      <c r="J40" s="12"/>
    </row>
    <row r="41" spans="1:11" s="13" customFormat="1" ht="14.25">
      <c r="B41" s="12"/>
      <c r="C41" s="12"/>
      <c r="D41" s="12"/>
      <c r="E41" s="12"/>
      <c r="F41" s="12"/>
      <c r="G41" s="12"/>
      <c r="H41" s="12"/>
      <c r="I41" s="12"/>
      <c r="J41" s="12"/>
    </row>
    <row r="42" spans="1:11" s="13" customFormat="1" ht="14.25">
      <c r="B42" s="12"/>
      <c r="C42" s="12"/>
      <c r="D42" s="12"/>
      <c r="E42" s="12"/>
      <c r="F42" s="12"/>
      <c r="G42" s="12"/>
      <c r="H42" s="12"/>
      <c r="I42" s="12"/>
      <c r="J42" s="12"/>
      <c r="K42" s="12"/>
    </row>
    <row r="43" spans="1:11" s="13" customFormat="1" ht="14.25">
      <c r="B43" s="12"/>
      <c r="C43" s="12"/>
      <c r="D43" s="12"/>
      <c r="E43" s="12"/>
      <c r="F43" s="12"/>
      <c r="G43" s="12"/>
      <c r="H43" s="12"/>
      <c r="I43" s="12"/>
      <c r="J43" s="12"/>
      <c r="K43" s="12"/>
    </row>
    <row r="44" spans="1:11" ht="27" customHeight="1"/>
    <row r="45" spans="1:11" ht="12.75" customHeight="1"/>
    <row r="46" spans="1:11" ht="12.75" customHeight="1"/>
    <row r="47" spans="1:11" ht="13.5" customHeight="1"/>
    <row r="48" spans="1:11" ht="13.5" customHeight="1"/>
    <row r="49" ht="13.5" customHeight="1"/>
    <row r="50" ht="39" customHeight="1"/>
    <row r="51" ht="13.5" customHeight="1"/>
    <row r="52" ht="13.5" customHeight="1"/>
    <row r="53" ht="13.5" customHeight="1"/>
    <row r="54" ht="13.5" customHeight="1"/>
    <row r="55" ht="27" customHeight="1"/>
    <row r="56" ht="12.75" customHeight="1"/>
    <row r="57" ht="12.75" customHeight="1"/>
    <row r="58" ht="13.5" customHeight="1"/>
    <row r="59" ht="13.5" customHeight="1"/>
  </sheetData>
  <sheetProtection password="C288" sheet="1"/>
  <mergeCells count="61">
    <mergeCell ref="C9:E9"/>
    <mergeCell ref="C16:J16"/>
    <mergeCell ref="D32:H32"/>
    <mergeCell ref="G17:H19"/>
    <mergeCell ref="G22:H22"/>
    <mergeCell ref="C4:J4"/>
    <mergeCell ref="C7:E7"/>
    <mergeCell ref="C5:E5"/>
    <mergeCell ref="C6:E6"/>
    <mergeCell ref="C11:E11"/>
    <mergeCell ref="C8:E8"/>
    <mergeCell ref="E18:F18"/>
    <mergeCell ref="I33:J33"/>
    <mergeCell ref="I31:J31"/>
    <mergeCell ref="I30:J30"/>
    <mergeCell ref="C13:E13"/>
    <mergeCell ref="C14:E14"/>
    <mergeCell ref="C15:E15"/>
    <mergeCell ref="D33:H33"/>
    <mergeCell ref="I21:J21"/>
    <mergeCell ref="G23:H24"/>
    <mergeCell ref="B2:D2"/>
    <mergeCell ref="B3:J3"/>
    <mergeCell ref="I25:J25"/>
    <mergeCell ref="I20:J20"/>
    <mergeCell ref="I19:J19"/>
    <mergeCell ref="B4:B15"/>
    <mergeCell ref="E19:F19"/>
    <mergeCell ref="I17:J17"/>
    <mergeCell ref="E25:F25"/>
    <mergeCell ref="E23:F23"/>
    <mergeCell ref="E17:F17"/>
    <mergeCell ref="B34:D34"/>
    <mergeCell ref="E26:F26"/>
    <mergeCell ref="C17:D19"/>
    <mergeCell ref="E22:F22"/>
    <mergeCell ref="E34:J34"/>
    <mergeCell ref="C27:J27"/>
    <mergeCell ref="B27:B33"/>
    <mergeCell ref="D28:H28"/>
    <mergeCell ref="D29:H29"/>
    <mergeCell ref="I23:J23"/>
    <mergeCell ref="B35:J36"/>
    <mergeCell ref="E21:F21"/>
    <mergeCell ref="E20:F20"/>
    <mergeCell ref="E24:F24"/>
    <mergeCell ref="I22:J22"/>
    <mergeCell ref="D31:H31"/>
    <mergeCell ref="D30:H30"/>
    <mergeCell ref="C23:D23"/>
    <mergeCell ref="B16:B26"/>
    <mergeCell ref="I24:J24"/>
    <mergeCell ref="C10:E10"/>
    <mergeCell ref="C22:D22"/>
    <mergeCell ref="E2:H2"/>
    <mergeCell ref="C12:E12"/>
    <mergeCell ref="I32:J32"/>
    <mergeCell ref="I18:J18"/>
    <mergeCell ref="I29:J29"/>
    <mergeCell ref="I28:J28"/>
    <mergeCell ref="I26:J26"/>
  </mergeCells>
  <dataValidations count="5">
    <dataValidation type="textLength" operator="equal" allowBlank="1" showInputMessage="1" showErrorMessage="1" errorTitle="9 Digit DUNS Code" error="Enter your 9 digit DUNS code(s)" sqref="E17:F26">
      <formula1>9</formula1>
    </dataValidation>
    <dataValidation type="list" allowBlank="1" showInputMessage="1" showErrorMessage="1" sqref="I28:J33">
      <formula1>YesNoUnk</formula1>
    </dataValidation>
    <dataValidation type="textLength" operator="equal" allowBlank="1" showInputMessage="1" showErrorMessage="1" errorTitle="NAICS Code" error="Enter a six digit NAICS code." sqref="I17:J26">
      <formula1>6</formula1>
    </dataValidation>
    <dataValidation type="decimal" allowBlank="1" showInputMessage="1" showErrorMessage="1" errorTitle="Percentage" error="Enter a percentage as a decimal." sqref="F6:F15">
      <formula1>0</formula1>
      <formula2>1</formula2>
    </dataValidation>
    <dataValidation type="list" allowBlank="1" showInputMessage="1" showErrorMessage="1" errorTitle="Country" error="Select a country from the dropdown menu." sqref="J6:J15">
      <formula1>Country</formula1>
    </dataValidation>
  </dataValidations>
  <hyperlinks>
    <hyperlink ref="B2:D2" location="'1a'!A1" tooltip="Organization Information" display="Previous Page"/>
    <hyperlink ref="E2:G2" location="'Table of Contents'!A1" tooltip="Table of Contents" display="Table of Contents"/>
    <hyperlink ref="J2" location="'1c'!A1" tooltip="Organization Information (cont.)" display="Next Page"/>
    <hyperlink ref="C23:D23" r:id="rId1" display="http://fedgov.dnb.com/webform"/>
    <hyperlink ref="G23:H24" r:id="rId2" display="http://www.census.gov/epcd/www/naics.html"/>
  </hyperlinks>
  <pageMargins left="0.25" right="0.25" top="0.75" bottom="0.75" header="0.3" footer="0.3"/>
  <pageSetup scale="90" orientation="landscape" cellComments="atEnd" r:id="rId3"/>
  <headerFooter>
    <oddHeader>&amp;F</oddHeader>
    <oddFooter>Page &amp;P of &amp;N</oddFooter>
  </headerFooter>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showGridLines="0" showRowColHeaders="0" zoomScaleNormal="100" workbookViewId="0"/>
  </sheetViews>
  <sheetFormatPr defaultColWidth="8.85546875" defaultRowHeight="12.75"/>
  <cols>
    <col min="1" max="1" width="8.5703125" style="12" customWidth="1"/>
    <col min="2" max="2" width="3.85546875" style="12" customWidth="1"/>
    <col min="3" max="3" width="2.5703125" style="12" customWidth="1"/>
    <col min="4" max="4" width="32.7109375" style="12" customWidth="1"/>
    <col min="5" max="5" width="14.28515625" style="12" customWidth="1"/>
    <col min="6" max="6" width="15.7109375" style="12" customWidth="1"/>
    <col min="7" max="7" width="13.5703125" style="12" customWidth="1"/>
    <col min="8" max="9" width="16" style="12" customWidth="1"/>
    <col min="10" max="10" width="16.140625" style="12" customWidth="1"/>
    <col min="11" max="15" width="8.85546875" style="12"/>
    <col min="16" max="16" width="11.28515625" style="12" customWidth="1"/>
    <col min="17" max="16384" width="8.85546875" style="12"/>
  </cols>
  <sheetData>
    <row r="1" spans="1:15" ht="13.5" customHeight="1" thickBot="1">
      <c r="A1" s="45"/>
      <c r="B1" s="45"/>
      <c r="C1" s="45"/>
      <c r="D1" s="45"/>
      <c r="E1" s="45"/>
      <c r="F1" s="45"/>
      <c r="G1" s="45"/>
      <c r="H1" s="45"/>
      <c r="I1" s="45"/>
      <c r="J1" s="45"/>
    </row>
    <row r="2" spans="1:15" ht="13.5" customHeight="1" thickBot="1">
      <c r="A2" s="45"/>
      <c r="B2" s="655" t="s">
        <v>487</v>
      </c>
      <c r="C2" s="656"/>
      <c r="D2" s="656"/>
      <c r="E2" s="657" t="s">
        <v>1204</v>
      </c>
      <c r="F2" s="657"/>
      <c r="G2" s="657"/>
      <c r="H2" s="183"/>
      <c r="I2" s="183"/>
      <c r="J2" s="113" t="s">
        <v>486</v>
      </c>
    </row>
    <row r="3" spans="1:15" ht="13.5" customHeight="1" thickBot="1">
      <c r="A3" s="45"/>
      <c r="B3" s="806" t="s">
        <v>914</v>
      </c>
      <c r="C3" s="836"/>
      <c r="D3" s="836"/>
      <c r="E3" s="836"/>
      <c r="F3" s="836"/>
      <c r="G3" s="836"/>
      <c r="H3" s="836"/>
      <c r="I3" s="875"/>
      <c r="J3" s="837"/>
    </row>
    <row r="4" spans="1:15" ht="27.75" customHeight="1">
      <c r="A4" s="45"/>
      <c r="B4" s="885" t="s">
        <v>5</v>
      </c>
      <c r="C4" s="887" t="s">
        <v>2246</v>
      </c>
      <c r="D4" s="888"/>
      <c r="E4" s="888"/>
      <c r="F4" s="888"/>
      <c r="G4" s="888"/>
      <c r="H4" s="889"/>
      <c r="I4" s="424"/>
      <c r="J4" s="301"/>
    </row>
    <row r="5" spans="1:15" ht="27.75" customHeight="1" thickBot="1">
      <c r="A5" s="45"/>
      <c r="B5" s="886"/>
      <c r="C5" s="890" t="s">
        <v>2247</v>
      </c>
      <c r="D5" s="891"/>
      <c r="E5" s="891"/>
      <c r="F5" s="891"/>
      <c r="G5" s="891"/>
      <c r="H5" s="892"/>
      <c r="I5" s="425"/>
      <c r="J5" s="299"/>
    </row>
    <row r="6" spans="1:15" ht="22.5" customHeight="1" thickBot="1">
      <c r="A6" s="45"/>
      <c r="B6" s="864" t="s">
        <v>915</v>
      </c>
      <c r="C6" s="865"/>
      <c r="D6" s="865"/>
      <c r="E6" s="865"/>
      <c r="F6" s="865"/>
      <c r="G6" s="865"/>
      <c r="H6" s="865"/>
      <c r="I6" s="865"/>
      <c r="J6" s="866"/>
    </row>
    <row r="7" spans="1:15" s="46" customFormat="1" ht="30.75" customHeight="1">
      <c r="B7" s="876" t="s">
        <v>6</v>
      </c>
      <c r="C7" s="879" t="s">
        <v>1205</v>
      </c>
      <c r="D7" s="880"/>
      <c r="E7" s="880"/>
      <c r="F7" s="880"/>
      <c r="G7" s="880"/>
      <c r="H7" s="880"/>
      <c r="I7" s="880"/>
      <c r="J7" s="881"/>
      <c r="K7" s="45"/>
      <c r="L7" s="300"/>
    </row>
    <row r="8" spans="1:15" s="46" customFormat="1" ht="30.75" customHeight="1">
      <c r="B8" s="877"/>
      <c r="C8" s="868" t="s">
        <v>1114</v>
      </c>
      <c r="D8" s="869"/>
      <c r="E8" s="870"/>
      <c r="F8" s="260" t="s">
        <v>1115</v>
      </c>
      <c r="G8" s="868" t="s">
        <v>1114</v>
      </c>
      <c r="H8" s="869"/>
      <c r="I8" s="870"/>
      <c r="J8" s="262" t="s">
        <v>1115</v>
      </c>
      <c r="K8" s="45"/>
      <c r="L8" s="12"/>
    </row>
    <row r="9" spans="1:15" s="46" customFormat="1" ht="22.5" customHeight="1">
      <c r="B9" s="877"/>
      <c r="C9" s="867" t="s">
        <v>613</v>
      </c>
      <c r="D9" s="860"/>
      <c r="E9" s="861"/>
      <c r="F9" s="426"/>
      <c r="G9" s="859" t="s">
        <v>616</v>
      </c>
      <c r="H9" s="860"/>
      <c r="I9" s="861"/>
      <c r="J9" s="428"/>
      <c r="K9" s="261"/>
      <c r="L9" s="12"/>
      <c r="M9" s="44"/>
      <c r="N9" s="44"/>
      <c r="O9" s="44"/>
    </row>
    <row r="10" spans="1:15" s="46" customFormat="1" ht="22.5" customHeight="1">
      <c r="B10" s="877"/>
      <c r="C10" s="873" t="s">
        <v>612</v>
      </c>
      <c r="D10" s="862"/>
      <c r="E10" s="863"/>
      <c r="F10" s="426"/>
      <c r="G10" s="860" t="s">
        <v>617</v>
      </c>
      <c r="H10" s="860"/>
      <c r="I10" s="860"/>
      <c r="J10" s="429"/>
      <c r="K10" s="261"/>
      <c r="L10" s="43"/>
      <c r="M10" s="44"/>
      <c r="N10" s="44"/>
      <c r="O10" s="44"/>
    </row>
    <row r="11" spans="1:15" s="46" customFormat="1" ht="22.5" customHeight="1">
      <c r="B11" s="877"/>
      <c r="C11" s="867" t="s">
        <v>614</v>
      </c>
      <c r="D11" s="860"/>
      <c r="E11" s="861"/>
      <c r="F11" s="426"/>
      <c r="G11" s="860" t="s">
        <v>618</v>
      </c>
      <c r="H11" s="860"/>
      <c r="I11" s="860"/>
      <c r="J11" s="428"/>
      <c r="K11" s="261"/>
      <c r="L11" s="43"/>
      <c r="M11" s="44"/>
      <c r="N11" s="44"/>
      <c r="O11" s="44"/>
    </row>
    <row r="12" spans="1:15" s="46" customFormat="1" ht="22.5" customHeight="1">
      <c r="B12" s="877"/>
      <c r="C12" s="873" t="s">
        <v>615</v>
      </c>
      <c r="D12" s="862"/>
      <c r="E12" s="863"/>
      <c r="F12" s="426"/>
      <c r="G12" s="860" t="s">
        <v>619</v>
      </c>
      <c r="H12" s="874"/>
      <c r="I12" s="874"/>
      <c r="J12" s="428"/>
      <c r="K12" s="261"/>
      <c r="L12" s="43"/>
      <c r="M12" s="44"/>
      <c r="N12" s="44"/>
      <c r="O12" s="44"/>
    </row>
    <row r="13" spans="1:15" s="46" customFormat="1" ht="22.5" customHeight="1" thickBot="1">
      <c r="B13" s="878"/>
      <c r="C13" s="882" t="s">
        <v>1120</v>
      </c>
      <c r="D13" s="883"/>
      <c r="E13" s="884"/>
      <c r="F13" s="427"/>
      <c r="G13" s="263" t="s">
        <v>107</v>
      </c>
      <c r="H13" s="871" t="s">
        <v>405</v>
      </c>
      <c r="I13" s="872"/>
      <c r="J13" s="430"/>
      <c r="K13" s="261"/>
      <c r="L13" s="43"/>
      <c r="M13" s="44"/>
      <c r="N13" s="44"/>
      <c r="O13" s="44"/>
    </row>
    <row r="14" spans="1:15" ht="22.5" customHeight="1" thickBot="1">
      <c r="A14" s="45"/>
      <c r="B14" s="864" t="s">
        <v>916</v>
      </c>
      <c r="C14" s="865"/>
      <c r="D14" s="865"/>
      <c r="E14" s="865"/>
      <c r="F14" s="865"/>
      <c r="G14" s="865"/>
      <c r="H14" s="865"/>
      <c r="I14" s="865"/>
      <c r="J14" s="866"/>
    </row>
    <row r="15" spans="1:15" s="46" customFormat="1" ht="30.75" customHeight="1">
      <c r="B15" s="742" t="s">
        <v>7</v>
      </c>
      <c r="C15" s="879" t="s">
        <v>1206</v>
      </c>
      <c r="D15" s="880"/>
      <c r="E15" s="880"/>
      <c r="F15" s="880"/>
      <c r="G15" s="880"/>
      <c r="H15" s="880"/>
      <c r="I15" s="880"/>
      <c r="J15" s="881"/>
      <c r="K15" s="45"/>
      <c r="L15" s="12"/>
    </row>
    <row r="16" spans="1:15" s="46" customFormat="1" ht="30.75" customHeight="1">
      <c r="B16" s="743"/>
      <c r="C16" s="868" t="s">
        <v>1116</v>
      </c>
      <c r="D16" s="869"/>
      <c r="E16" s="870"/>
      <c r="F16" s="260" t="s">
        <v>1115</v>
      </c>
      <c r="G16" s="868" t="s">
        <v>1116</v>
      </c>
      <c r="H16" s="869"/>
      <c r="I16" s="870"/>
      <c r="J16" s="262" t="s">
        <v>1115</v>
      </c>
      <c r="K16" s="45"/>
      <c r="L16" s="12"/>
    </row>
    <row r="17" spans="1:15" s="46" customFormat="1" ht="26.25" customHeight="1">
      <c r="B17" s="743"/>
      <c r="C17" s="860" t="s">
        <v>613</v>
      </c>
      <c r="D17" s="860"/>
      <c r="E17" s="861"/>
      <c r="F17" s="426"/>
      <c r="G17" s="859" t="s">
        <v>1119</v>
      </c>
      <c r="H17" s="860"/>
      <c r="I17" s="861"/>
      <c r="J17" s="428"/>
      <c r="K17" s="261"/>
      <c r="L17" s="12"/>
      <c r="M17" s="44"/>
      <c r="N17" s="44"/>
      <c r="O17" s="44"/>
    </row>
    <row r="18" spans="1:15" s="46" customFormat="1" ht="26.25" customHeight="1">
      <c r="B18" s="743"/>
      <c r="C18" s="862" t="s">
        <v>1188</v>
      </c>
      <c r="D18" s="862"/>
      <c r="E18" s="863"/>
      <c r="F18" s="426"/>
      <c r="G18" s="859" t="s">
        <v>618</v>
      </c>
      <c r="H18" s="860"/>
      <c r="I18" s="861"/>
      <c r="J18" s="429"/>
      <c r="K18" s="261"/>
      <c r="L18" s="43"/>
      <c r="M18" s="44"/>
      <c r="N18" s="44"/>
      <c r="O18" s="44"/>
    </row>
    <row r="19" spans="1:15" s="46" customFormat="1" ht="26.25" customHeight="1">
      <c r="B19" s="743"/>
      <c r="C19" s="860" t="s">
        <v>1117</v>
      </c>
      <c r="D19" s="860"/>
      <c r="E19" s="861"/>
      <c r="F19" s="426"/>
      <c r="G19" s="860" t="s">
        <v>619</v>
      </c>
      <c r="H19" s="874"/>
      <c r="I19" s="874"/>
      <c r="J19" s="428"/>
      <c r="K19" s="261"/>
      <c r="L19" s="43"/>
      <c r="M19" s="44"/>
      <c r="N19" s="44"/>
      <c r="O19" s="44"/>
    </row>
    <row r="20" spans="1:15" s="46" customFormat="1" ht="26.25" customHeight="1" thickBot="1">
      <c r="B20" s="743"/>
      <c r="C20" s="862" t="s">
        <v>1118</v>
      </c>
      <c r="D20" s="862"/>
      <c r="E20" s="863"/>
      <c r="F20" s="426"/>
      <c r="G20" s="263" t="s">
        <v>107</v>
      </c>
      <c r="H20" s="871" t="s">
        <v>405</v>
      </c>
      <c r="I20" s="872"/>
      <c r="J20" s="430"/>
      <c r="K20" s="261"/>
      <c r="L20" s="43"/>
      <c r="M20" s="44"/>
      <c r="N20" s="44"/>
      <c r="O20" s="44"/>
    </row>
    <row r="21" spans="1:15" s="13" customFormat="1" ht="31.5" customHeight="1">
      <c r="A21" s="47"/>
      <c r="B21" s="828" t="s">
        <v>48</v>
      </c>
      <c r="C21" s="829"/>
      <c r="D21" s="830"/>
      <c r="E21" s="833"/>
      <c r="F21" s="834"/>
      <c r="G21" s="834"/>
      <c r="H21" s="834"/>
      <c r="I21" s="834"/>
      <c r="J21" s="835"/>
    </row>
    <row r="22" spans="1:15" s="13" customFormat="1" ht="15" customHeight="1">
      <c r="A22" s="47"/>
      <c r="B22" s="824" t="s">
        <v>4</v>
      </c>
      <c r="C22" s="825"/>
      <c r="D22" s="825"/>
      <c r="E22" s="825"/>
      <c r="F22" s="825"/>
      <c r="G22" s="825"/>
      <c r="H22" s="825"/>
      <c r="I22" s="825"/>
      <c r="J22" s="826"/>
    </row>
    <row r="23" spans="1:15" s="13" customFormat="1" ht="15" customHeight="1" thickBot="1">
      <c r="A23" s="47"/>
      <c r="B23" s="778"/>
      <c r="C23" s="779"/>
      <c r="D23" s="779"/>
      <c r="E23" s="779"/>
      <c r="F23" s="779"/>
      <c r="G23" s="779"/>
      <c r="H23" s="779"/>
      <c r="I23" s="779"/>
      <c r="J23" s="780"/>
    </row>
    <row r="24" spans="1:15" s="13" customFormat="1" ht="14.25" customHeight="1">
      <c r="B24" s="12"/>
      <c r="C24" s="12"/>
      <c r="D24" s="12"/>
      <c r="E24" s="12"/>
      <c r="F24" s="12"/>
      <c r="G24" s="12"/>
      <c r="H24" s="12"/>
      <c r="I24" s="12"/>
      <c r="J24" s="12"/>
    </row>
    <row r="25" spans="1:15" s="13" customFormat="1" ht="14.25" customHeight="1">
      <c r="B25" s="12"/>
      <c r="C25" s="12"/>
      <c r="D25" s="12"/>
      <c r="E25" s="12"/>
      <c r="F25" s="12"/>
      <c r="G25" s="12"/>
      <c r="H25" s="12"/>
      <c r="I25" s="12"/>
      <c r="J25" s="12"/>
    </row>
    <row r="26" spans="1:15" s="13" customFormat="1" ht="14.25" customHeight="1">
      <c r="B26" s="12"/>
      <c r="C26" s="12"/>
      <c r="D26" s="12"/>
      <c r="E26" s="12"/>
      <c r="F26" s="12"/>
      <c r="G26" s="12"/>
      <c r="H26" s="12"/>
      <c r="I26" s="12"/>
      <c r="J26" s="12"/>
    </row>
    <row r="27" spans="1:15" s="13" customFormat="1" ht="14.25" customHeight="1">
      <c r="B27" s="12"/>
      <c r="C27" s="12"/>
      <c r="D27" s="12"/>
      <c r="E27" s="12"/>
      <c r="F27" s="12"/>
      <c r="G27" s="12"/>
      <c r="H27" s="12"/>
      <c r="I27" s="12"/>
      <c r="J27" s="12"/>
    </row>
    <row r="28" spans="1:15" s="13" customFormat="1" ht="14.25">
      <c r="B28" s="12"/>
      <c r="C28" s="12"/>
      <c r="D28" s="12"/>
      <c r="E28" s="12"/>
      <c r="F28" s="12"/>
      <c r="G28" s="12"/>
      <c r="H28" s="12"/>
      <c r="I28" s="12"/>
      <c r="J28" s="12"/>
    </row>
    <row r="29" spans="1:15" s="13" customFormat="1" ht="14.25">
      <c r="B29" s="12"/>
      <c r="C29" s="12"/>
      <c r="D29" s="12"/>
      <c r="E29" s="12"/>
      <c r="F29" s="12"/>
      <c r="G29" s="12"/>
      <c r="H29" s="12"/>
      <c r="I29" s="12"/>
      <c r="J29" s="12"/>
      <c r="K29" s="12"/>
    </row>
    <row r="30" spans="1:15" s="13" customFormat="1" ht="14.25">
      <c r="B30" s="12"/>
      <c r="C30" s="12"/>
      <c r="D30" s="12"/>
      <c r="E30" s="12"/>
      <c r="F30" s="12"/>
      <c r="G30" s="12"/>
      <c r="H30" s="12"/>
      <c r="I30" s="12"/>
      <c r="J30" s="12"/>
      <c r="K30" s="12"/>
    </row>
    <row r="31" spans="1:15" ht="27" customHeight="1"/>
    <row r="32" spans="1:15" ht="12.75" customHeight="1"/>
    <row r="33" ht="12.75" customHeight="1"/>
    <row r="34" ht="13.5" customHeight="1"/>
    <row r="35" ht="13.5" customHeight="1"/>
    <row r="36" ht="13.5" customHeight="1"/>
    <row r="37" ht="39" customHeight="1"/>
    <row r="38" ht="13.5" customHeight="1"/>
    <row r="39" ht="13.5" customHeight="1"/>
    <row r="40" ht="13.5" customHeight="1"/>
    <row r="41" ht="13.5" customHeight="1"/>
    <row r="42" ht="27" customHeight="1"/>
    <row r="43" ht="12.75" customHeight="1"/>
    <row r="44" ht="12.75" customHeight="1"/>
    <row r="45" ht="13.5" customHeight="1"/>
    <row r="46" ht="13.5" customHeight="1"/>
  </sheetData>
  <sheetProtection password="C288" sheet="1"/>
  <mergeCells count="37">
    <mergeCell ref="C5:H5"/>
    <mergeCell ref="B22:J23"/>
    <mergeCell ref="B15:B20"/>
    <mergeCell ref="C15:J15"/>
    <mergeCell ref="C17:E17"/>
    <mergeCell ref="G17:I17"/>
    <mergeCell ref="C10:E10"/>
    <mergeCell ref="B21:D21"/>
    <mergeCell ref="E21:J21"/>
    <mergeCell ref="G19:I19"/>
    <mergeCell ref="H20:I20"/>
    <mergeCell ref="C19:E19"/>
    <mergeCell ref="B2:D2"/>
    <mergeCell ref="E2:G2"/>
    <mergeCell ref="B3:J3"/>
    <mergeCell ref="B7:B13"/>
    <mergeCell ref="C7:J7"/>
    <mergeCell ref="C13:E13"/>
    <mergeCell ref="B4:B5"/>
    <mergeCell ref="C4:H4"/>
    <mergeCell ref="C11:E11"/>
    <mergeCell ref="C16:E16"/>
    <mergeCell ref="G16:I16"/>
    <mergeCell ref="G18:I18"/>
    <mergeCell ref="H13:I13"/>
    <mergeCell ref="C12:E12"/>
    <mergeCell ref="G12:I12"/>
    <mergeCell ref="G9:I9"/>
    <mergeCell ref="C20:E20"/>
    <mergeCell ref="B6:J6"/>
    <mergeCell ref="B14:J14"/>
    <mergeCell ref="G11:I11"/>
    <mergeCell ref="C9:E9"/>
    <mergeCell ref="C8:E8"/>
    <mergeCell ref="G8:I8"/>
    <mergeCell ref="C18:E18"/>
    <mergeCell ref="G10:I10"/>
  </mergeCells>
  <dataValidations count="2">
    <dataValidation type="decimal" allowBlank="1" showInputMessage="1" showErrorMessage="1" errorTitle="Percentage" error="Enter a percentage as a decimal." sqref="F9:F13 J9:J13 F17:F20 J17:J20">
      <formula1>0</formula1>
      <formula2>1</formula2>
    </dataValidation>
    <dataValidation type="decimal" allowBlank="1" showInputMessage="1" showErrorMessage="1" errorTitle="Percentage" error="Enter a percentage as a decimal." sqref="I4:I5">
      <formula1>0</formula1>
      <formula2>1</formula2>
    </dataValidation>
  </dataValidations>
  <hyperlinks>
    <hyperlink ref="B2:D2" location="'1b'!A1" tooltip="Organization Information (continued)" display="Previous Page"/>
    <hyperlink ref="E2:G2" location="'Table of Contents'!A1" tooltip="Table of Contents" display="Table of Contents"/>
    <hyperlink ref="J2" location="'2'!A1" tooltip="Mergers, Acquisitions, Divestitures, and Joint Ventures" display="Next Page"/>
  </hyperlinks>
  <pageMargins left="0.25" right="0.25" top="0.75" bottom="0.75" header="0.3" footer="0.3"/>
  <pageSetup orientation="landscape" cellComments="atEnd" r:id="rId1"/>
  <headerFooter>
    <oddHeader>&amp;F</oddHeader>
    <oddFooter>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showGridLines="0" showRowColHeaders="0" zoomScaleNormal="100" workbookViewId="0"/>
  </sheetViews>
  <sheetFormatPr defaultColWidth="8.85546875" defaultRowHeight="12.75"/>
  <cols>
    <col min="1" max="1" width="8.5703125" style="48" customWidth="1"/>
    <col min="2" max="3" width="3.140625" style="48" customWidth="1"/>
    <col min="4" max="4" width="18" style="48" customWidth="1"/>
    <col min="5" max="5" width="11.28515625" style="48" customWidth="1"/>
    <col min="6" max="6" width="12.85546875" style="48" customWidth="1"/>
    <col min="7" max="7" width="26.140625" style="48" customWidth="1"/>
    <col min="8" max="8" width="10.7109375" style="48" customWidth="1"/>
    <col min="9" max="12" width="9" style="48" customWidth="1"/>
    <col min="13" max="13" width="48.140625" style="48" customWidth="1"/>
    <col min="14" max="16384" width="8.85546875" style="48"/>
  </cols>
  <sheetData>
    <row r="1" spans="1:16" ht="13.5" customHeight="1" thickBot="1">
      <c r="A1" s="97"/>
      <c r="B1" s="97"/>
      <c r="C1" s="97"/>
      <c r="D1" s="97"/>
      <c r="E1" s="97"/>
      <c r="F1" s="97"/>
      <c r="G1" s="97"/>
      <c r="H1" s="97"/>
      <c r="I1" s="97"/>
      <c r="J1" s="202"/>
      <c r="K1" s="97"/>
      <c r="L1" s="97"/>
      <c r="M1" s="97"/>
    </row>
    <row r="2" spans="1:16" ht="13.5" customHeight="1" thickBot="1">
      <c r="A2" s="97"/>
      <c r="B2" s="655" t="s">
        <v>487</v>
      </c>
      <c r="C2" s="656"/>
      <c r="D2" s="656"/>
      <c r="E2" s="183"/>
      <c r="F2" s="657" t="s">
        <v>1204</v>
      </c>
      <c r="G2" s="657"/>
      <c r="H2" s="657"/>
      <c r="I2" s="657"/>
      <c r="J2" s="657"/>
      <c r="K2" s="657"/>
      <c r="L2" s="203"/>
      <c r="M2" s="113" t="s">
        <v>486</v>
      </c>
    </row>
    <row r="3" spans="1:16" ht="13.5" customHeight="1" thickBot="1">
      <c r="A3" s="97"/>
      <c r="B3" s="921" t="s">
        <v>442</v>
      </c>
      <c r="C3" s="922"/>
      <c r="D3" s="922"/>
      <c r="E3" s="922"/>
      <c r="F3" s="922"/>
      <c r="G3" s="922"/>
      <c r="H3" s="922"/>
      <c r="I3" s="922"/>
      <c r="J3" s="922"/>
      <c r="K3" s="922"/>
      <c r="L3" s="922"/>
      <c r="M3" s="923"/>
    </row>
    <row r="4" spans="1:16" ht="27" customHeight="1">
      <c r="A4" s="97"/>
      <c r="B4" s="908" t="s">
        <v>5</v>
      </c>
      <c r="C4" s="926" t="s">
        <v>133</v>
      </c>
      <c r="D4" s="927"/>
      <c r="E4" s="927"/>
      <c r="F4" s="927"/>
      <c r="G4" s="927"/>
      <c r="H4" s="927"/>
      <c r="I4" s="928"/>
      <c r="J4" s="927"/>
      <c r="K4" s="927"/>
      <c r="L4" s="927"/>
      <c r="M4" s="929"/>
    </row>
    <row r="5" spans="1:16" ht="27" customHeight="1">
      <c r="A5" s="97"/>
      <c r="B5" s="909"/>
      <c r="C5" s="919" t="s">
        <v>1207</v>
      </c>
      <c r="D5" s="902"/>
      <c r="E5" s="902"/>
      <c r="F5" s="902"/>
      <c r="G5" s="902"/>
      <c r="H5" s="920"/>
      <c r="I5" s="435"/>
      <c r="J5" s="144"/>
      <c r="K5" s="144"/>
      <c r="L5" s="144"/>
      <c r="M5" s="145"/>
    </row>
    <row r="6" spans="1:16" s="49" customFormat="1" ht="18" customHeight="1">
      <c r="B6" s="909"/>
      <c r="C6" s="919" t="s">
        <v>1121</v>
      </c>
      <c r="D6" s="902"/>
      <c r="E6" s="902"/>
      <c r="F6" s="902"/>
      <c r="G6" s="902"/>
      <c r="H6" s="902"/>
      <c r="I6" s="924"/>
      <c r="J6" s="902"/>
      <c r="K6" s="902"/>
      <c r="L6" s="902"/>
      <c r="M6" s="925"/>
    </row>
    <row r="7" spans="1:16" s="52" customFormat="1" ht="27" customHeight="1">
      <c r="A7" s="49"/>
      <c r="B7" s="909"/>
      <c r="C7" s="916" t="s">
        <v>35</v>
      </c>
      <c r="D7" s="917"/>
      <c r="E7" s="917"/>
      <c r="F7" s="50" t="s">
        <v>97</v>
      </c>
      <c r="G7" s="51" t="s">
        <v>42</v>
      </c>
      <c r="H7" s="51" t="s">
        <v>98</v>
      </c>
      <c r="I7" s="893" t="s">
        <v>99</v>
      </c>
      <c r="J7" s="894"/>
      <c r="K7" s="894"/>
      <c r="L7" s="915"/>
      <c r="M7" s="106" t="s">
        <v>468</v>
      </c>
    </row>
    <row r="8" spans="1:16" ht="15" customHeight="1">
      <c r="A8" s="97"/>
      <c r="B8" s="909"/>
      <c r="C8" s="53" t="s">
        <v>55</v>
      </c>
      <c r="D8" s="899"/>
      <c r="E8" s="900"/>
      <c r="F8" s="431"/>
      <c r="G8" s="432"/>
      <c r="H8" s="433"/>
      <c r="I8" s="895"/>
      <c r="J8" s="896"/>
      <c r="K8" s="896"/>
      <c r="L8" s="918"/>
      <c r="M8" s="434"/>
    </row>
    <row r="9" spans="1:16" ht="15" customHeight="1">
      <c r="A9" s="97"/>
      <c r="B9" s="909"/>
      <c r="C9" s="53" t="s">
        <v>56</v>
      </c>
      <c r="D9" s="899"/>
      <c r="E9" s="900"/>
      <c r="F9" s="431"/>
      <c r="G9" s="432"/>
      <c r="H9" s="433"/>
      <c r="I9" s="895"/>
      <c r="J9" s="896"/>
      <c r="K9" s="896"/>
      <c r="L9" s="918"/>
      <c r="M9" s="434"/>
    </row>
    <row r="10" spans="1:16" ht="15" customHeight="1">
      <c r="A10" s="97"/>
      <c r="B10" s="909"/>
      <c r="C10" s="53" t="s">
        <v>57</v>
      </c>
      <c r="D10" s="899"/>
      <c r="E10" s="900"/>
      <c r="F10" s="431"/>
      <c r="G10" s="432"/>
      <c r="H10" s="433"/>
      <c r="I10" s="895"/>
      <c r="J10" s="896"/>
      <c r="K10" s="896"/>
      <c r="L10" s="918"/>
      <c r="M10" s="434"/>
    </row>
    <row r="11" spans="1:16" ht="15" customHeight="1">
      <c r="A11" s="97"/>
      <c r="B11" s="909"/>
      <c r="C11" s="53" t="s">
        <v>58</v>
      </c>
      <c r="D11" s="899"/>
      <c r="E11" s="900"/>
      <c r="F11" s="431"/>
      <c r="G11" s="432"/>
      <c r="H11" s="433"/>
      <c r="I11" s="895"/>
      <c r="J11" s="896"/>
      <c r="K11" s="896"/>
      <c r="L11" s="918"/>
      <c r="M11" s="434"/>
      <c r="P11" s="52"/>
    </row>
    <row r="12" spans="1:16" ht="15" customHeight="1">
      <c r="A12" s="97"/>
      <c r="B12" s="909"/>
      <c r="C12" s="53" t="s">
        <v>59</v>
      </c>
      <c r="D12" s="899"/>
      <c r="E12" s="900"/>
      <c r="F12" s="431"/>
      <c r="G12" s="432"/>
      <c r="H12" s="433"/>
      <c r="I12" s="895"/>
      <c r="J12" s="896"/>
      <c r="K12" s="896"/>
      <c r="L12" s="918"/>
      <c r="M12" s="434"/>
    </row>
    <row r="13" spans="1:16" ht="27" customHeight="1">
      <c r="A13" s="97"/>
      <c r="B13" s="910" t="s">
        <v>6</v>
      </c>
      <c r="C13" s="903" t="s">
        <v>125</v>
      </c>
      <c r="D13" s="904"/>
      <c r="E13" s="904"/>
      <c r="F13" s="904"/>
      <c r="G13" s="904"/>
      <c r="H13" s="904"/>
      <c r="I13" s="905"/>
      <c r="J13" s="904"/>
      <c r="K13" s="904"/>
      <c r="L13" s="904"/>
      <c r="M13" s="906"/>
    </row>
    <row r="14" spans="1:16" ht="27" customHeight="1">
      <c r="A14" s="97"/>
      <c r="B14" s="910"/>
      <c r="C14" s="901" t="s">
        <v>551</v>
      </c>
      <c r="D14" s="902"/>
      <c r="E14" s="902"/>
      <c r="F14" s="902"/>
      <c r="G14" s="902"/>
      <c r="H14" s="902"/>
      <c r="I14" s="264"/>
      <c r="J14" s="151"/>
      <c r="K14" s="144"/>
      <c r="L14" s="144"/>
      <c r="M14" s="145"/>
    </row>
    <row r="15" spans="1:16" s="49" customFormat="1" ht="27.75" customHeight="1">
      <c r="B15" s="910"/>
      <c r="C15" s="897" t="s">
        <v>445</v>
      </c>
      <c r="D15" s="897"/>
      <c r="E15" s="897"/>
      <c r="F15" s="897"/>
      <c r="G15" s="897"/>
      <c r="H15" s="897"/>
      <c r="I15" s="897"/>
      <c r="J15" s="897"/>
      <c r="K15" s="897"/>
      <c r="L15" s="897"/>
      <c r="M15" s="898"/>
      <c r="P15" s="48"/>
    </row>
    <row r="16" spans="1:16" s="52" customFormat="1" ht="27" customHeight="1">
      <c r="A16" s="49"/>
      <c r="B16" s="910"/>
      <c r="C16" s="913" t="s">
        <v>100</v>
      </c>
      <c r="D16" s="914"/>
      <c r="E16" s="914"/>
      <c r="F16" s="893" t="s">
        <v>42</v>
      </c>
      <c r="G16" s="894"/>
      <c r="H16" s="50" t="s">
        <v>496</v>
      </c>
      <c r="I16" s="893" t="s">
        <v>461</v>
      </c>
      <c r="J16" s="894"/>
      <c r="K16" s="894"/>
      <c r="L16" s="894"/>
      <c r="M16" s="107" t="s">
        <v>468</v>
      </c>
      <c r="P16" s="49"/>
    </row>
    <row r="17" spans="1:13" ht="15" customHeight="1">
      <c r="A17" s="97"/>
      <c r="B17" s="910"/>
      <c r="C17" s="54" t="s">
        <v>55</v>
      </c>
      <c r="D17" s="912"/>
      <c r="E17" s="912"/>
      <c r="F17" s="907"/>
      <c r="G17" s="907"/>
      <c r="H17" s="433"/>
      <c r="I17" s="895"/>
      <c r="J17" s="896"/>
      <c r="K17" s="896"/>
      <c r="L17" s="896"/>
      <c r="M17" s="434"/>
    </row>
    <row r="18" spans="1:13" ht="15" customHeight="1">
      <c r="A18" s="97"/>
      <c r="B18" s="910"/>
      <c r="C18" s="54" t="s">
        <v>56</v>
      </c>
      <c r="D18" s="912"/>
      <c r="E18" s="912"/>
      <c r="F18" s="907"/>
      <c r="G18" s="907"/>
      <c r="H18" s="433"/>
      <c r="I18" s="895"/>
      <c r="J18" s="896"/>
      <c r="K18" s="896"/>
      <c r="L18" s="896"/>
      <c r="M18" s="434"/>
    </row>
    <row r="19" spans="1:13" ht="15" customHeight="1">
      <c r="A19" s="97"/>
      <c r="B19" s="910"/>
      <c r="C19" s="54" t="s">
        <v>57</v>
      </c>
      <c r="D19" s="912"/>
      <c r="E19" s="912"/>
      <c r="F19" s="907"/>
      <c r="G19" s="907"/>
      <c r="H19" s="433"/>
      <c r="I19" s="895"/>
      <c r="J19" s="896"/>
      <c r="K19" s="896"/>
      <c r="L19" s="896"/>
      <c r="M19" s="434"/>
    </row>
    <row r="20" spans="1:13" ht="15" customHeight="1">
      <c r="A20" s="97"/>
      <c r="B20" s="910"/>
      <c r="C20" s="54" t="s">
        <v>58</v>
      </c>
      <c r="D20" s="912"/>
      <c r="E20" s="912"/>
      <c r="F20" s="907"/>
      <c r="G20" s="907"/>
      <c r="H20" s="433"/>
      <c r="I20" s="895"/>
      <c r="J20" s="896"/>
      <c r="K20" s="896"/>
      <c r="L20" s="896"/>
      <c r="M20" s="434"/>
    </row>
    <row r="21" spans="1:13" ht="15" customHeight="1">
      <c r="A21" s="97"/>
      <c r="B21" s="910"/>
      <c r="C21" s="54" t="s">
        <v>59</v>
      </c>
      <c r="D21" s="912"/>
      <c r="E21" s="912"/>
      <c r="F21" s="907"/>
      <c r="G21" s="907"/>
      <c r="H21" s="433"/>
      <c r="I21" s="895"/>
      <c r="J21" s="896"/>
      <c r="K21" s="896"/>
      <c r="L21" s="918"/>
      <c r="M21" s="434"/>
    </row>
    <row r="22" spans="1:13" ht="15" customHeight="1">
      <c r="A22" s="97"/>
      <c r="B22" s="910"/>
      <c r="C22" s="54" t="s">
        <v>86</v>
      </c>
      <c r="D22" s="912"/>
      <c r="E22" s="912"/>
      <c r="F22" s="907"/>
      <c r="G22" s="907"/>
      <c r="H22" s="433"/>
      <c r="I22" s="895"/>
      <c r="J22" s="896"/>
      <c r="K22" s="896"/>
      <c r="L22" s="918"/>
      <c r="M22" s="434"/>
    </row>
    <row r="23" spans="1:13" ht="15" customHeight="1">
      <c r="A23" s="97"/>
      <c r="B23" s="910"/>
      <c r="C23" s="54" t="s">
        <v>87</v>
      </c>
      <c r="D23" s="912"/>
      <c r="E23" s="912"/>
      <c r="F23" s="907"/>
      <c r="G23" s="907"/>
      <c r="H23" s="433"/>
      <c r="I23" s="895"/>
      <c r="J23" s="896"/>
      <c r="K23" s="896"/>
      <c r="L23" s="918"/>
      <c r="M23" s="434"/>
    </row>
    <row r="24" spans="1:13" ht="15" customHeight="1">
      <c r="A24" s="97"/>
      <c r="B24" s="910"/>
      <c r="C24" s="54" t="s">
        <v>88</v>
      </c>
      <c r="D24" s="912"/>
      <c r="E24" s="912"/>
      <c r="F24" s="907"/>
      <c r="G24" s="907"/>
      <c r="H24" s="433"/>
      <c r="I24" s="895"/>
      <c r="J24" s="896"/>
      <c r="K24" s="896"/>
      <c r="L24" s="918"/>
      <c r="M24" s="434"/>
    </row>
    <row r="25" spans="1:13" ht="15" customHeight="1">
      <c r="A25" s="97"/>
      <c r="B25" s="910"/>
      <c r="C25" s="54" t="s">
        <v>89</v>
      </c>
      <c r="D25" s="912"/>
      <c r="E25" s="912"/>
      <c r="F25" s="907"/>
      <c r="G25" s="907"/>
      <c r="H25" s="433"/>
      <c r="I25" s="895"/>
      <c r="J25" s="896"/>
      <c r="K25" s="896"/>
      <c r="L25" s="918"/>
      <c r="M25" s="434"/>
    </row>
    <row r="26" spans="1:13" ht="15" customHeight="1">
      <c r="A26" s="97"/>
      <c r="B26" s="910"/>
      <c r="C26" s="54" t="s">
        <v>90</v>
      </c>
      <c r="D26" s="912"/>
      <c r="E26" s="912"/>
      <c r="F26" s="907"/>
      <c r="G26" s="907"/>
      <c r="H26" s="433"/>
      <c r="I26" s="895"/>
      <c r="J26" s="896"/>
      <c r="K26" s="896"/>
      <c r="L26" s="918"/>
      <c r="M26" s="434"/>
    </row>
    <row r="27" spans="1:13" ht="15" customHeight="1">
      <c r="A27" s="97"/>
      <c r="B27" s="910"/>
      <c r="C27" s="54" t="s">
        <v>126</v>
      </c>
      <c r="D27" s="912"/>
      <c r="E27" s="912"/>
      <c r="F27" s="907"/>
      <c r="G27" s="907"/>
      <c r="H27" s="433"/>
      <c r="I27" s="895"/>
      <c r="J27" s="896"/>
      <c r="K27" s="896"/>
      <c r="L27" s="918"/>
      <c r="M27" s="434"/>
    </row>
    <row r="28" spans="1:13" ht="15" customHeight="1">
      <c r="A28" s="97"/>
      <c r="B28" s="910"/>
      <c r="C28" s="54" t="s">
        <v>127</v>
      </c>
      <c r="D28" s="912"/>
      <c r="E28" s="912"/>
      <c r="F28" s="907"/>
      <c r="G28" s="907"/>
      <c r="H28" s="433"/>
      <c r="I28" s="895"/>
      <c r="J28" s="896"/>
      <c r="K28" s="896"/>
      <c r="L28" s="896"/>
      <c r="M28" s="434"/>
    </row>
    <row r="29" spans="1:13" ht="15" customHeight="1">
      <c r="A29" s="97"/>
      <c r="B29" s="910"/>
      <c r="C29" s="54" t="s">
        <v>128</v>
      </c>
      <c r="D29" s="912"/>
      <c r="E29" s="912"/>
      <c r="F29" s="907"/>
      <c r="G29" s="907"/>
      <c r="H29" s="433"/>
      <c r="I29" s="895"/>
      <c r="J29" s="896"/>
      <c r="K29" s="896"/>
      <c r="L29" s="896"/>
      <c r="M29" s="434"/>
    </row>
    <row r="30" spans="1:13" ht="15" customHeight="1">
      <c r="A30" s="97"/>
      <c r="B30" s="910"/>
      <c r="C30" s="54" t="s">
        <v>129</v>
      </c>
      <c r="D30" s="912"/>
      <c r="E30" s="912"/>
      <c r="F30" s="907"/>
      <c r="G30" s="907"/>
      <c r="H30" s="433"/>
      <c r="I30" s="895"/>
      <c r="J30" s="896"/>
      <c r="K30" s="896"/>
      <c r="L30" s="896"/>
      <c r="M30" s="434"/>
    </row>
    <row r="31" spans="1:13" ht="15.75" customHeight="1" thickBot="1">
      <c r="A31" s="97"/>
      <c r="B31" s="911"/>
      <c r="C31" s="55" t="s">
        <v>130</v>
      </c>
      <c r="D31" s="931"/>
      <c r="E31" s="931"/>
      <c r="F31" s="930"/>
      <c r="G31" s="930"/>
      <c r="H31" s="433"/>
      <c r="I31" s="895"/>
      <c r="J31" s="896"/>
      <c r="K31" s="896"/>
      <c r="L31" s="896"/>
      <c r="M31" s="437"/>
    </row>
    <row r="32" spans="1:13" ht="27" customHeight="1">
      <c r="A32" s="97"/>
      <c r="B32" s="934" t="s">
        <v>48</v>
      </c>
      <c r="C32" s="935"/>
      <c r="D32" s="936"/>
      <c r="E32" s="833"/>
      <c r="F32" s="834"/>
      <c r="G32" s="834"/>
      <c r="H32" s="834"/>
      <c r="I32" s="834"/>
      <c r="J32" s="834"/>
      <c r="K32" s="834"/>
      <c r="L32" s="834"/>
      <c r="M32" s="835"/>
    </row>
    <row r="33" spans="2:13">
      <c r="B33" s="932"/>
      <c r="C33" s="933"/>
      <c r="D33" s="933"/>
      <c r="E33" s="56"/>
      <c r="F33" s="56"/>
      <c r="G33" s="56"/>
      <c r="H33" s="56"/>
      <c r="I33" s="56"/>
      <c r="J33" s="21"/>
      <c r="K33" s="56"/>
      <c r="L33" s="56"/>
      <c r="M33" s="22"/>
    </row>
    <row r="34" spans="2:13" ht="13.5" thickBot="1">
      <c r="B34" s="672" t="s">
        <v>4</v>
      </c>
      <c r="C34" s="673"/>
      <c r="D34" s="673"/>
      <c r="E34" s="673"/>
      <c r="F34" s="673"/>
      <c r="G34" s="673"/>
      <c r="H34" s="673"/>
      <c r="I34" s="673"/>
      <c r="J34" s="673"/>
      <c r="K34" s="673"/>
      <c r="L34" s="673"/>
      <c r="M34" s="674"/>
    </row>
  </sheetData>
  <sheetProtection password="C288" sheet="1"/>
  <mergeCells count="75">
    <mergeCell ref="I29:L29"/>
    <mergeCell ref="I26:L26"/>
    <mergeCell ref="D30:E30"/>
    <mergeCell ref="F25:G25"/>
    <mergeCell ref="I24:L24"/>
    <mergeCell ref="I28:L28"/>
    <mergeCell ref="I21:L21"/>
    <mergeCell ref="B34:M34"/>
    <mergeCell ref="B33:D33"/>
    <mergeCell ref="B32:D32"/>
    <mergeCell ref="E32:M32"/>
    <mergeCell ref="D26:E26"/>
    <mergeCell ref="F29:G29"/>
    <mergeCell ref="F27:G27"/>
    <mergeCell ref="F24:G24"/>
    <mergeCell ref="D29:E29"/>
    <mergeCell ref="I31:L31"/>
    <mergeCell ref="F30:G30"/>
    <mergeCell ref="F31:G31"/>
    <mergeCell ref="I30:L30"/>
    <mergeCell ref="D25:E25"/>
    <mergeCell ref="F26:G26"/>
    <mergeCell ref="F28:G28"/>
    <mergeCell ref="F22:G22"/>
    <mergeCell ref="F19:G19"/>
    <mergeCell ref="F21:G21"/>
    <mergeCell ref="D27:E27"/>
    <mergeCell ref="I25:L25"/>
    <mergeCell ref="I27:L27"/>
    <mergeCell ref="I22:L22"/>
    <mergeCell ref="D23:E23"/>
    <mergeCell ref="D24:E24"/>
    <mergeCell ref="D19:E19"/>
    <mergeCell ref="I19:L19"/>
    <mergeCell ref="D20:E20"/>
    <mergeCell ref="F20:G20"/>
    <mergeCell ref="I23:L23"/>
    <mergeCell ref="F23:G23"/>
    <mergeCell ref="D22:E22"/>
    <mergeCell ref="B2:D2"/>
    <mergeCell ref="D17:E17"/>
    <mergeCell ref="C5:H5"/>
    <mergeCell ref="F2:K2"/>
    <mergeCell ref="I11:L11"/>
    <mergeCell ref="I18:L18"/>
    <mergeCell ref="I9:L9"/>
    <mergeCell ref="B3:M3"/>
    <mergeCell ref="C6:M6"/>
    <mergeCell ref="C4:M4"/>
    <mergeCell ref="I7:L7"/>
    <mergeCell ref="C7:E7"/>
    <mergeCell ref="I12:L12"/>
    <mergeCell ref="D10:E10"/>
    <mergeCell ref="I10:L10"/>
    <mergeCell ref="I8:L8"/>
    <mergeCell ref="B4:B12"/>
    <mergeCell ref="B13:B31"/>
    <mergeCell ref="D28:E28"/>
    <mergeCell ref="D8:E8"/>
    <mergeCell ref="D9:E9"/>
    <mergeCell ref="D11:E11"/>
    <mergeCell ref="D18:E18"/>
    <mergeCell ref="C16:E16"/>
    <mergeCell ref="D21:E21"/>
    <mergeCell ref="D31:E31"/>
    <mergeCell ref="F16:G16"/>
    <mergeCell ref="I17:L17"/>
    <mergeCell ref="I20:L20"/>
    <mergeCell ref="C15:M15"/>
    <mergeCell ref="D12:E12"/>
    <mergeCell ref="C14:H14"/>
    <mergeCell ref="C13:M13"/>
    <mergeCell ref="I16:L16"/>
    <mergeCell ref="F18:G18"/>
    <mergeCell ref="F17:G17"/>
  </mergeCells>
  <dataValidations count="6">
    <dataValidation type="list" allowBlank="1" showInputMessage="1" showErrorMessage="1" errorTitle="Activity Type" error="Select Merger, Acquisition, or Divestiture from the dropdown menu." sqref="F8:F12">
      <formula1>MAD</formula1>
    </dataValidation>
    <dataValidation type="list" allowBlank="1" showInputMessage="1" showErrorMessage="1" errorTitle="Country" error="Select a country from the dropdown menu." sqref="F17:F31 G8:G12">
      <formula1>Country</formula1>
    </dataValidation>
    <dataValidation type="whole" allowBlank="1" showInputMessage="1" showErrorMessage="1" errorTitle="Year" error="Enter a valid year." sqref="H8:H12 H17:H31">
      <formula1>1900</formula1>
      <formula2>2030</formula2>
    </dataValidation>
    <dataValidation type="list" allowBlank="1" showInputMessage="1" showErrorMessage="1" errorTitle="Primary Objective" error="Select a primary objective from the dropdown menu." sqref="I17:I31">
      <formula1>JVReason</formula1>
    </dataValidation>
    <dataValidation type="list" allowBlank="1" showInputMessage="1" showErrorMessage="1" errorTitle="Year" error="Enter a valid year." sqref="I8:L12">
      <formula1>Objectives</formula1>
    </dataValidation>
    <dataValidation type="whole" allowBlank="1" showInputMessage="1" showErrorMessage="1" errorTitle="Number" error="Enter a valid number." sqref="I5 I14">
      <formula1>0</formula1>
      <formula2>100000000</formula2>
    </dataValidation>
  </dataValidations>
  <hyperlinks>
    <hyperlink ref="B2:D2" location="'1c'!A1" tooltip="Organization Information (continued)" display="Previous Page"/>
    <hyperlink ref="F2:K2" location="'Table of Contents'!A1" tooltip="Table of Contents" display="Table of Contents"/>
    <hyperlink ref="M2" location="'3a'!A1" tooltip="Customers" display="Next Page"/>
  </hyperlinks>
  <pageMargins left="0.25" right="0.25" top="0.75" bottom="0.75" header="0.3" footer="0.3"/>
  <pageSetup scale="62" orientation="landscape" cellComments="atEnd" r:id="rId1"/>
  <headerFooter>
    <oddHeader>&amp;F</oddHead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1106</vt:i4>
      </vt:variant>
    </vt:vector>
  </HeadingPairs>
  <TitlesOfParts>
    <vt:vector size="1172" baseType="lpstr">
      <vt:lpstr>Cover Page</vt:lpstr>
      <vt:lpstr>Table of Contents</vt:lpstr>
      <vt:lpstr>General Instructions</vt:lpstr>
      <vt:lpstr>Definitions</vt:lpstr>
      <vt:lpstr>Respondent Profile</vt:lpstr>
      <vt:lpstr>1a</vt:lpstr>
      <vt:lpstr>1b</vt:lpstr>
      <vt:lpstr>1c</vt:lpstr>
      <vt:lpstr>2</vt:lpstr>
      <vt:lpstr>3a</vt:lpstr>
      <vt:lpstr>3b</vt:lpstr>
      <vt:lpstr>4a</vt:lpstr>
      <vt:lpstr>4b</vt:lpstr>
      <vt:lpstr>5a</vt:lpstr>
      <vt:lpstr>5b</vt:lpstr>
      <vt:lpstr>5c</vt:lpstr>
      <vt:lpstr>5d</vt:lpstr>
      <vt:lpstr>5e</vt:lpstr>
      <vt:lpstr>6a</vt:lpstr>
      <vt:lpstr>6b</vt:lpstr>
      <vt:lpstr>6c</vt:lpstr>
      <vt:lpstr>6d</vt:lpstr>
      <vt:lpstr>7</vt:lpstr>
      <vt:lpstr>8</vt:lpstr>
      <vt:lpstr>9a</vt:lpstr>
      <vt:lpstr>9b</vt:lpstr>
      <vt:lpstr>10</vt:lpstr>
      <vt:lpstr>11a</vt:lpstr>
      <vt:lpstr>11b</vt:lpstr>
      <vt:lpstr>12a</vt:lpstr>
      <vt:lpstr>12b</vt:lpstr>
      <vt:lpstr>12c</vt:lpstr>
      <vt:lpstr>13a</vt:lpstr>
      <vt:lpstr>13b</vt:lpstr>
      <vt:lpstr>14</vt:lpstr>
      <vt:lpstr>15</vt:lpstr>
      <vt:lpstr>Lists</vt:lpstr>
      <vt:lpstr>D-RP-1</vt:lpstr>
      <vt:lpstr>D-1bA (Pivot)</vt:lpstr>
      <vt:lpstr>D-2 (Pivot)</vt:lpstr>
      <vt:lpstr>D-3</vt:lpstr>
      <vt:lpstr>D-3 (Pivot)</vt:lpstr>
      <vt:lpstr>D-4</vt:lpstr>
      <vt:lpstr>D-4a (Pivot)</vt:lpstr>
      <vt:lpstr>D-5a-e (Pivot)</vt:lpstr>
      <vt:lpstr>D-5aDE (Pivot)</vt:lpstr>
      <vt:lpstr>D-5bA (Pivot)</vt:lpstr>
      <vt:lpstr>D-5cA (Pivot)</vt:lpstr>
      <vt:lpstr>D-5a-e</vt:lpstr>
      <vt:lpstr>D-6a (Pivot)</vt:lpstr>
      <vt:lpstr>D-6cA (Pivot)</vt:lpstr>
      <vt:lpstr>D-6b-d</vt:lpstr>
      <vt:lpstr>D-7 (Pivot)</vt:lpstr>
      <vt:lpstr>D-8 (Pivot)</vt:lpstr>
      <vt:lpstr>D-Ratios (Pivot)</vt:lpstr>
      <vt:lpstr>D-Risk</vt:lpstr>
      <vt:lpstr>D-9a (Pivot)</vt:lpstr>
      <vt:lpstr>D-9b</vt:lpstr>
      <vt:lpstr>D-10 (Pivot)</vt:lpstr>
      <vt:lpstr>D-10B-11</vt:lpstr>
      <vt:lpstr>D-11aA (Pivot)</vt:lpstr>
      <vt:lpstr>D-11aB-11bB (Pivot)</vt:lpstr>
      <vt:lpstr>D-12</vt:lpstr>
      <vt:lpstr>D-13</vt:lpstr>
      <vt:lpstr>D-14A (Pivot)</vt:lpstr>
      <vt:lpstr>D-14B-15</vt:lpstr>
      <vt:lpstr>AllAgencies</vt:lpstr>
      <vt:lpstr>Bottleneck</vt:lpstr>
      <vt:lpstr>BusinessImpact</vt:lpstr>
      <vt:lpstr>CapExFuture</vt:lpstr>
      <vt:lpstr>Change</vt:lpstr>
      <vt:lpstr>CompAdv</vt:lpstr>
      <vt:lpstr>Confidence</vt:lpstr>
      <vt:lpstr>ConsolFactors</vt:lpstr>
      <vt:lpstr>Counterfeit</vt:lpstr>
      <vt:lpstr>Country</vt:lpstr>
      <vt:lpstr>CurrFut</vt:lpstr>
      <vt:lpstr>CustomerType</vt:lpstr>
      <vt:lpstr>DepLevel</vt:lpstr>
      <vt:lpstr>DiffWorkforce</vt:lpstr>
      <vt:lpstr>EndUse</vt:lpstr>
      <vt:lpstr>EqConcern</vt:lpstr>
      <vt:lpstr>EstComp</vt:lpstr>
      <vt:lpstr>ExportControl</vt:lpstr>
      <vt:lpstr>FacilityChange</vt:lpstr>
      <vt:lpstr>Foreign</vt:lpstr>
      <vt:lpstr>FormalInform</vt:lpstr>
      <vt:lpstr>HowMany</vt:lpstr>
      <vt:lpstr>ImpactLevel</vt:lpstr>
      <vt:lpstr>InnerLayerThickness</vt:lpstr>
      <vt:lpstr>InspMethod</vt:lpstr>
      <vt:lpstr>IntegSep</vt:lpstr>
      <vt:lpstr>InvMeth</vt:lpstr>
      <vt:lpstr>JVReason</vt:lpstr>
      <vt:lpstr>Level</vt:lpstr>
      <vt:lpstr>LocPar</vt:lpstr>
      <vt:lpstr>MAD</vt:lpstr>
      <vt:lpstr>MaxAspect1</vt:lpstr>
      <vt:lpstr>MaxAspect2</vt:lpstr>
      <vt:lpstr>MaxBoardThickness</vt:lpstr>
      <vt:lpstr>NA</vt:lpstr>
      <vt:lpstr>NetOps</vt:lpstr>
      <vt:lpstr>Objectives</vt:lpstr>
      <vt:lpstr>OrgDesc</vt:lpstr>
      <vt:lpstr>OrgID</vt:lpstr>
      <vt:lpstr>OtherAgency</vt:lpstr>
      <vt:lpstr>Participation</vt:lpstr>
      <vt:lpstr>PrimAdd</vt:lpstr>
      <vt:lpstr>PrimaryBusOpp</vt:lpstr>
      <vt:lpstr>PrimaryEndUse</vt:lpstr>
      <vt:lpstr>'10'!Print_Area</vt:lpstr>
      <vt:lpstr>'11a'!Print_Area</vt:lpstr>
      <vt:lpstr>'11b'!Print_Area</vt:lpstr>
      <vt:lpstr>'12a'!Print_Area</vt:lpstr>
      <vt:lpstr>'12b'!Print_Area</vt:lpstr>
      <vt:lpstr>'12c'!Print_Area</vt:lpstr>
      <vt:lpstr>'13a'!Print_Area</vt:lpstr>
      <vt:lpstr>'13b'!Print_Area</vt:lpstr>
      <vt:lpstr>'14'!Print_Area</vt:lpstr>
      <vt:lpstr>'15'!Print_Area</vt:lpstr>
      <vt:lpstr>'1a'!Print_Area</vt:lpstr>
      <vt:lpstr>'1b'!Print_Area</vt:lpstr>
      <vt:lpstr>'1c'!Print_Area</vt:lpstr>
      <vt:lpstr>'2'!Print_Area</vt:lpstr>
      <vt:lpstr>'3a'!Print_Area</vt:lpstr>
      <vt:lpstr>'3b'!Print_Area</vt:lpstr>
      <vt:lpstr>'4a'!Print_Area</vt:lpstr>
      <vt:lpstr>'4b'!Print_Area</vt:lpstr>
      <vt:lpstr>'5a'!Print_Area</vt:lpstr>
      <vt:lpstr>'5b'!Print_Area</vt:lpstr>
      <vt:lpstr>'5c'!Print_Area</vt:lpstr>
      <vt:lpstr>'5d'!Print_Area</vt:lpstr>
      <vt:lpstr>'5e'!Print_Area</vt:lpstr>
      <vt:lpstr>'6a'!Print_Area</vt:lpstr>
      <vt:lpstr>'6b'!Print_Area</vt:lpstr>
      <vt:lpstr>'6c'!Print_Area</vt:lpstr>
      <vt:lpstr>'6d'!Print_Area</vt:lpstr>
      <vt:lpstr>'7'!Print_Area</vt:lpstr>
      <vt:lpstr>'8'!Print_Area</vt:lpstr>
      <vt:lpstr>'9a'!Print_Area</vt:lpstr>
      <vt:lpstr>'9b'!Print_Area</vt:lpstr>
      <vt:lpstr>'Cover Page'!Print_Area</vt:lpstr>
      <vt:lpstr>Definitions!Print_Area</vt:lpstr>
      <vt:lpstr>'General Instructions'!Print_Area</vt:lpstr>
      <vt:lpstr>'Respondent Profile'!Print_Area</vt:lpstr>
      <vt:lpstr>'Table of Contents'!Print_Area</vt:lpstr>
      <vt:lpstr>ProcMeth</vt:lpstr>
      <vt:lpstr>ProdType</vt:lpstr>
      <vt:lpstr>PubPriv</vt:lpstr>
      <vt:lpstr>Q10_A_CapExBarePct_2012</vt:lpstr>
      <vt:lpstr>Q10_A_CapExBarePct_2013</vt:lpstr>
      <vt:lpstr>Q10_A_CapExBarePct_2014</vt:lpstr>
      <vt:lpstr>Q10_A_CapExBarePct_2015</vt:lpstr>
      <vt:lpstr>Q10_A_CapExITPct_2012</vt:lpstr>
      <vt:lpstr>Q10_A_CapExITPct_2013</vt:lpstr>
      <vt:lpstr>Q10_A_CapExITPct_2014</vt:lpstr>
      <vt:lpstr>Q10_A_CapExITPct_2015</vt:lpstr>
      <vt:lpstr>Q10_A_CapExLandPct_2012</vt:lpstr>
      <vt:lpstr>Q10_A_CapExLandPct_2013</vt:lpstr>
      <vt:lpstr>Q10_A_CapExLandPct_2014</vt:lpstr>
      <vt:lpstr>Q10_A_CapExLandPct_2015</vt:lpstr>
      <vt:lpstr>Q10_A_CapExMachPct_2012</vt:lpstr>
      <vt:lpstr>Q10_A_CapExMachPct_2013</vt:lpstr>
      <vt:lpstr>Q10_A_CapExMachPct_2014</vt:lpstr>
      <vt:lpstr>Q10_A_CapExMachPct_2015</vt:lpstr>
      <vt:lpstr>Q10_A_CapExOther1_Specify</vt:lpstr>
      <vt:lpstr>Q10_A_CapExOther1Pct_2012</vt:lpstr>
      <vt:lpstr>Q10_A_CapExOther1Pct_2013</vt:lpstr>
      <vt:lpstr>Q10_A_CapExOther1Pct_2014</vt:lpstr>
      <vt:lpstr>Q10_A_CapExOther1Pct_2015</vt:lpstr>
      <vt:lpstr>Q10_A_CapExOther2_Specify</vt:lpstr>
      <vt:lpstr>Q10_A_CapExOther2Pct_2012</vt:lpstr>
      <vt:lpstr>Q10_A_CapExOther2Pct_2013</vt:lpstr>
      <vt:lpstr>Q10_A_CapExOther2Pct_2014</vt:lpstr>
      <vt:lpstr>Q10_A_CapExOther2Pct_2015</vt:lpstr>
      <vt:lpstr>Q10_A_CapExTotal_2012</vt:lpstr>
      <vt:lpstr>Q10_A_CapExTotal_2013</vt:lpstr>
      <vt:lpstr>Q10_A_CapExTotal_2014</vt:lpstr>
      <vt:lpstr>Q10_A_CapExTotal_2015</vt:lpstr>
      <vt:lpstr>Q10_B_USGImpact_Explain</vt:lpstr>
      <vt:lpstr>Q10_B_USGImpact_YN</vt:lpstr>
      <vt:lpstr>Q10_C_Priority1_Explain</vt:lpstr>
      <vt:lpstr>Q10_C_Priority1_Select</vt:lpstr>
      <vt:lpstr>Q10_C_Priority2_Explain</vt:lpstr>
      <vt:lpstr>Q10_C_Priority2_Select</vt:lpstr>
      <vt:lpstr>Q10_C_Priority3_Explain</vt:lpstr>
      <vt:lpstr>Q10_C_Priority3_Select</vt:lpstr>
      <vt:lpstr>Q10_C_Priority4_Explain</vt:lpstr>
      <vt:lpstr>Q10_C_Priority4_Select</vt:lpstr>
      <vt:lpstr>Q10_C_Priority5_Explain</vt:lpstr>
      <vt:lpstr>Q10_C_Priority5_Select</vt:lpstr>
      <vt:lpstr>Q10_Comment</vt:lpstr>
      <vt:lpstr>Q10_Schedule</vt:lpstr>
      <vt:lpstr>Q10_Source</vt:lpstr>
      <vt:lpstr>Q11a_B_Difficulty_YN</vt:lpstr>
      <vt:lpstr>Q11a_C_Clearance_Explain</vt:lpstr>
      <vt:lpstr>Q11a_C_Clearance_YN</vt:lpstr>
      <vt:lpstr>Q11a_C_Exper_Explain</vt:lpstr>
      <vt:lpstr>Q11a_C_Exper_YN</vt:lpstr>
      <vt:lpstr>Q11a_C_Location_Explain</vt:lpstr>
      <vt:lpstr>Q11a_C_Location_YN</vt:lpstr>
      <vt:lpstr>Q11a_C_Other1_Explain</vt:lpstr>
      <vt:lpstr>Q11a_C_Other1_Specify</vt:lpstr>
      <vt:lpstr>Q11a_C_Other1_YN</vt:lpstr>
      <vt:lpstr>Q11a_C_Other2_Explain</vt:lpstr>
      <vt:lpstr>Q11a_C_Other2_Specify</vt:lpstr>
      <vt:lpstr>Q11a_C_Other2_YN</vt:lpstr>
      <vt:lpstr>Q11a_C_Qualified_Explain</vt:lpstr>
      <vt:lpstr>Q11a_C_Qualified_YN</vt:lpstr>
      <vt:lpstr>Q11a_C_Retirement_Explain</vt:lpstr>
      <vt:lpstr>Q11a_C_Retirement_YN</vt:lpstr>
      <vt:lpstr>Q11a_C_Turnover_Explain</vt:lpstr>
      <vt:lpstr>Q11a_C_Turnover_YN</vt:lpstr>
      <vt:lpstr>Q11a_C_USCitizens_Explain</vt:lpstr>
      <vt:lpstr>Q11a_C_USCitizens_YN</vt:lpstr>
      <vt:lpstr>Q11a_Comment</vt:lpstr>
      <vt:lpstr>Q11a_FTE_AdminPct_2012</vt:lpstr>
      <vt:lpstr>Q11a_FTE_AdminPct_2013</vt:lpstr>
      <vt:lpstr>Q11a_FTE_AdminPct_2014</vt:lpstr>
      <vt:lpstr>Q11a_FTE_AdminPct_2015</vt:lpstr>
      <vt:lpstr>Q11a_FTE_FacilitiesPct_2012</vt:lpstr>
      <vt:lpstr>Q11a_FTE_FacilitiesPct_2013</vt:lpstr>
      <vt:lpstr>Q11a_FTE_FacilitiesPct_2014</vt:lpstr>
      <vt:lpstr>Q11a_FTE_FacilitiesPct_2015</vt:lpstr>
      <vt:lpstr>Q11a_FTE_ITPct_2012</vt:lpstr>
      <vt:lpstr>Q11a_FTE_ITPct_2013</vt:lpstr>
      <vt:lpstr>Q11a_FTE_ITPct_2014</vt:lpstr>
      <vt:lpstr>Q11a_FTE_ITPct_2015</vt:lpstr>
      <vt:lpstr>Q11a_FTE_Other1Pct_2012</vt:lpstr>
      <vt:lpstr>Q11a_FTE_Other1Pct_2013</vt:lpstr>
      <vt:lpstr>Q11a_FTE_Other1Pct_2014</vt:lpstr>
      <vt:lpstr>Q11a_FTE_Other1Pct_2015</vt:lpstr>
      <vt:lpstr>Q11a_FTE_Other2Pct_2012</vt:lpstr>
      <vt:lpstr>Q11a_FTE_Other2Pct_2013</vt:lpstr>
      <vt:lpstr>Q11a_FTE_Other2Pct_2014</vt:lpstr>
      <vt:lpstr>Q11a_FTE_Other2Pct_2015</vt:lpstr>
      <vt:lpstr>Q11a_FTE_ProductionPct_2012</vt:lpstr>
      <vt:lpstr>Q11a_FTE_ProductionPct_2013</vt:lpstr>
      <vt:lpstr>Q11a_FTE_ProductionPct_2014</vt:lpstr>
      <vt:lpstr>Q11a_FTE_ProductionPct_2015</vt:lpstr>
      <vt:lpstr>Q11a_FTE_QCPct_2012</vt:lpstr>
      <vt:lpstr>Q11a_FTE_QCPct_2013</vt:lpstr>
      <vt:lpstr>Q11a_FTE_QCPct_2014</vt:lpstr>
      <vt:lpstr>Q11a_FTE_QCPct_2015</vt:lpstr>
      <vt:lpstr>Q11a_FTE_SalesPct_2012</vt:lpstr>
      <vt:lpstr>Q11a_FTE_SalesPct_2013</vt:lpstr>
      <vt:lpstr>Q11a_FTE_SalesPct_2014</vt:lpstr>
      <vt:lpstr>Q11a_FTE_SalesPct_2015</vt:lpstr>
      <vt:lpstr>Q11a_FTE_SciencePct_2012</vt:lpstr>
      <vt:lpstr>Q11a_FTE_SciencePct_2013</vt:lpstr>
      <vt:lpstr>Q11a_FTE_SciencePct_2014</vt:lpstr>
      <vt:lpstr>Q11a_FTE_SciencePct_2015</vt:lpstr>
      <vt:lpstr>Q11a_FTE_Total_2012</vt:lpstr>
      <vt:lpstr>Q11a_FTE_Total_2013</vt:lpstr>
      <vt:lpstr>Q11a_FTE_Total_2014</vt:lpstr>
      <vt:lpstr>Q11a_FTE_Total_2015</vt:lpstr>
      <vt:lpstr>Q11a_Schedule</vt:lpstr>
      <vt:lpstr>Q11a_Source</vt:lpstr>
      <vt:lpstr>Q11b_A_Explain</vt:lpstr>
      <vt:lpstr>Q11b_A_ReplacePct</vt:lpstr>
      <vt:lpstr>Q11b_A_RetirePct</vt:lpstr>
      <vt:lpstr>Q11b_B_11to20_Count</vt:lpstr>
      <vt:lpstr>Q11b_B_11to20_PctUS</vt:lpstr>
      <vt:lpstr>Q11b_B_6to10_Count</vt:lpstr>
      <vt:lpstr>Q11b_B_6to10_PctUS</vt:lpstr>
      <vt:lpstr>Q11b_B_Over20_Count</vt:lpstr>
      <vt:lpstr>Q11b_B_Over20_PctUS</vt:lpstr>
      <vt:lpstr>Q11b_B_Under5_Count</vt:lpstr>
      <vt:lpstr>Q11b_B_Under5_PctUS</vt:lpstr>
      <vt:lpstr>Q11b_Comment</vt:lpstr>
      <vt:lpstr>Q12a_A_OpsChange_Explain</vt:lpstr>
      <vt:lpstr>Q12a_A_OpsChange_Type</vt:lpstr>
      <vt:lpstr>Q12a_B1_EnviroAffect_Explain</vt:lpstr>
      <vt:lpstr>Q12a_B1_EnviroAffect_YN</vt:lpstr>
      <vt:lpstr>Q12a_B2_CeaseTL_Explain</vt:lpstr>
      <vt:lpstr>Q12a_B2_CeaseTL_Year</vt:lpstr>
      <vt:lpstr>Q12a_B2_CeaseTL_YN</vt:lpstr>
      <vt:lpstr>Q12a_B3_EnviroInventory_Explain</vt:lpstr>
      <vt:lpstr>Q12a_B3_EnviroInventory_YN</vt:lpstr>
      <vt:lpstr>Q12a_C_Infreq_Cease</vt:lpstr>
      <vt:lpstr>Q12a_C_Infreq_Explain</vt:lpstr>
      <vt:lpstr>Q12a_C_Infreq_Reduce</vt:lpstr>
      <vt:lpstr>Q12a_C_IP_Cease</vt:lpstr>
      <vt:lpstr>Q12a_C_IP_Explain</vt:lpstr>
      <vt:lpstr>Q12a_C_IP_Reduce</vt:lpstr>
      <vt:lpstr>Q12a_C_LowMargin_Cease</vt:lpstr>
      <vt:lpstr>Q12a_C_LowMargin_Explain</vt:lpstr>
      <vt:lpstr>Q12a_C_LowMargin_Reduce</vt:lpstr>
      <vt:lpstr>Q12a_C_OneOff_Cease</vt:lpstr>
      <vt:lpstr>Q12a_C_OneOff_Explain</vt:lpstr>
      <vt:lpstr>Q12a_C_OneOff_Reduce</vt:lpstr>
      <vt:lpstr>Q12a_C_Other_Cease</vt:lpstr>
      <vt:lpstr>Q12a_C_Other_Explain</vt:lpstr>
      <vt:lpstr>Q12a_C_Other_Reduce</vt:lpstr>
      <vt:lpstr>Q12a_C_Other_Specify</vt:lpstr>
      <vt:lpstr>Q12a_C_Paperwork_Cease</vt:lpstr>
      <vt:lpstr>Q12a_C_Paperwork_Explain</vt:lpstr>
      <vt:lpstr>Q12a_C_Paperwork_Reduce</vt:lpstr>
      <vt:lpstr>Q12a_C_SlowPay_Cease</vt:lpstr>
      <vt:lpstr>Q12a_C_SlowPay_Explain</vt:lpstr>
      <vt:lpstr>Q12a_C_SlowPay_Reduce</vt:lpstr>
      <vt:lpstr>Q12a_C_SmallLot_Cease</vt:lpstr>
      <vt:lpstr>Q12a_C_SmallLot_Explain</vt:lpstr>
      <vt:lpstr>Q12a_C_SmallLot_Reduce</vt:lpstr>
      <vt:lpstr>Q12a_Comment</vt:lpstr>
      <vt:lpstr>Q12a_D_Admin_50884</vt:lpstr>
      <vt:lpstr>Q12a_D_Admin_6012</vt:lpstr>
      <vt:lpstr>Q12a_D_Admin_Explain</vt:lpstr>
      <vt:lpstr>Q12a_D_Direct_50884</vt:lpstr>
      <vt:lpstr>Q12a_D_Direct_6012</vt:lpstr>
      <vt:lpstr>Q12a_D_Direct_Explain</vt:lpstr>
      <vt:lpstr>Q12a_D_Recurring_50884</vt:lpstr>
      <vt:lpstr>Q12a_D_Recurring_6012</vt:lpstr>
      <vt:lpstr>Q12a_D_Recurring_Explain</vt:lpstr>
      <vt:lpstr>Q12b_A_DepComm_Explain</vt:lpstr>
      <vt:lpstr>Q12b_A_DepComm_Extent</vt:lpstr>
      <vt:lpstr>Q12b_A_DepUSG_Extent</vt:lpstr>
      <vt:lpstr>Q12b_A_ROI_Comm</vt:lpstr>
      <vt:lpstr>Q12b_A_ROI_Def</vt:lpstr>
      <vt:lpstr>Q12b_A_ROI_Explain</vt:lpstr>
      <vt:lpstr>Q12b_B_Consol_Factor_Explain</vt:lpstr>
      <vt:lpstr>Q12b_B_Consol_Factor1</vt:lpstr>
      <vt:lpstr>Q12b_B_Consol_Factor2</vt:lpstr>
      <vt:lpstr>Q12b_B_Consol_Foreign</vt:lpstr>
      <vt:lpstr>Q12b_B_Consol_Foreign_Explain</vt:lpstr>
      <vt:lpstr>Q12b_B_Consol_Level</vt:lpstr>
      <vt:lpstr>Q12b_C_DependNonUS_Explain</vt:lpstr>
      <vt:lpstr>Q12b_C_DependNonUS_YN</vt:lpstr>
      <vt:lpstr>Q12b_C_FewerUS_Explain</vt:lpstr>
      <vt:lpstr>Q12b_C_FewerUS_YN</vt:lpstr>
      <vt:lpstr>Q12b_C_MatCosts_Explain</vt:lpstr>
      <vt:lpstr>Q12b_C_MatCosts_YN</vt:lpstr>
      <vt:lpstr>Q12b_C_NonUSShare_Explain</vt:lpstr>
      <vt:lpstr>Q12b_C_NonUSShare_YN</vt:lpstr>
      <vt:lpstr>Q12b_C_Other1_Explain</vt:lpstr>
      <vt:lpstr>Q12b_C_Other1_Specify</vt:lpstr>
      <vt:lpstr>Q12b_C_Other1_YN</vt:lpstr>
      <vt:lpstr>Q12b_C_Other2_Explain</vt:lpstr>
      <vt:lpstr>Q12b_C_Other2_Specify</vt:lpstr>
      <vt:lpstr>Q12b_C_Other2_YN</vt:lpstr>
      <vt:lpstr>Q12b_C_Prices_Explain</vt:lpstr>
      <vt:lpstr>Q12b_C_Prices_YN</vt:lpstr>
      <vt:lpstr>Q12b_C_Pricing_Explain</vt:lpstr>
      <vt:lpstr>Q12b_C_Pricing_YN</vt:lpstr>
      <vt:lpstr>Q12b_C_ReducedUS_Explain</vt:lpstr>
      <vt:lpstr>Q12b_C_ReducedUS_YN</vt:lpstr>
      <vt:lpstr>Q12b_C_SmallTrouble_Explain</vt:lpstr>
      <vt:lpstr>Q12b_C_SmallTrouble_YN</vt:lpstr>
      <vt:lpstr>Q12b_C_Workforce_Explain</vt:lpstr>
      <vt:lpstr>Q12b_C_Workforce_YN</vt:lpstr>
      <vt:lpstr>Q12b_Comment</vt:lpstr>
      <vt:lpstr>Q12c_Comment</vt:lpstr>
      <vt:lpstr>Q12c_Funding_Explain</vt:lpstr>
      <vt:lpstr>Q12c_Funding_Impact</vt:lpstr>
      <vt:lpstr>Q12c_Other1_Explain</vt:lpstr>
      <vt:lpstr>Q12c_Other1_Impact</vt:lpstr>
      <vt:lpstr>Q12c_Other1_Specify</vt:lpstr>
      <vt:lpstr>Q12c_Other2_Explain</vt:lpstr>
      <vt:lpstr>Q12c_Other2_Impact</vt:lpstr>
      <vt:lpstr>Q12c_Other2_Specify</vt:lpstr>
      <vt:lpstr>Q12c_QMLQPL_Explain</vt:lpstr>
      <vt:lpstr>Q12c_QMLQPL_Impact</vt:lpstr>
      <vt:lpstr>Q12c_Stockpile_Explain</vt:lpstr>
      <vt:lpstr>Q12c_Stockpile_Impact</vt:lpstr>
      <vt:lpstr>Q12c_Trusted_Explain</vt:lpstr>
      <vt:lpstr>Q12c_Trusted_Impact</vt:lpstr>
      <vt:lpstr>Q12c_USMade_Explain</vt:lpstr>
      <vt:lpstr>Q12c_USMade_Impact</vt:lpstr>
      <vt:lpstr>Q12c_USMaterial_Explain</vt:lpstr>
      <vt:lpstr>Q12c_USMaterial_Impact</vt:lpstr>
      <vt:lpstr>Q13a_A_Connect_YN</vt:lpstr>
      <vt:lpstr>Q13a_B_ExternalIT</vt:lpstr>
      <vt:lpstr>Q13a_B_InternalIT</vt:lpstr>
      <vt:lpstr>Q13a_C_Client_Explain</vt:lpstr>
      <vt:lpstr>Q13a_C_Client_YN</vt:lpstr>
      <vt:lpstr>Q13a_C_ExportControl_Explain</vt:lpstr>
      <vt:lpstr>Q13a_C_ExportControl_YN</vt:lpstr>
      <vt:lpstr>Q13a_C_Financial_Explain</vt:lpstr>
      <vt:lpstr>Q13a_C_Financial_YN</vt:lpstr>
      <vt:lpstr>Q13a_C_HR_Explain</vt:lpstr>
      <vt:lpstr>Q13a_C_HR_YN</vt:lpstr>
      <vt:lpstr>Q13a_C_Internal_Explain</vt:lpstr>
      <vt:lpstr>Q13a_C_Internal_YN</vt:lpstr>
      <vt:lpstr>Q13a_C_IP_Explain</vt:lpstr>
      <vt:lpstr>Q13a_C_IP_YN</vt:lpstr>
      <vt:lpstr>Q13a_C_Patent_Explain</vt:lpstr>
      <vt:lpstr>Q13a_C_Patent_YN</vt:lpstr>
      <vt:lpstr>Q13a_C_Production_Explain</vt:lpstr>
      <vt:lpstr>Q13a_C_Production_YN</vt:lpstr>
      <vt:lpstr>Q13a_C_RD_Explain</vt:lpstr>
      <vt:lpstr>Q13a_C_RD_YN</vt:lpstr>
      <vt:lpstr>Q13a_C_Regulatory_Explain</vt:lpstr>
      <vt:lpstr>Q13a_C_Regulatory_YN</vt:lpstr>
      <vt:lpstr>Q13a_C_Sourcing_Explain</vt:lpstr>
      <vt:lpstr>Q13a_C_Sourcing_YN</vt:lpstr>
      <vt:lpstr>Q13a_Comment</vt:lpstr>
      <vt:lpstr>Q13b_A_IncreaseBudget_YN</vt:lpstr>
      <vt:lpstr>Q13b_B_Cloud_Pct</vt:lpstr>
      <vt:lpstr>Q13b_B_External_Pct</vt:lpstr>
      <vt:lpstr>Q13b_B_ProhibitNonUS</vt:lpstr>
      <vt:lpstr>Q13b_C_Business_Explain</vt:lpstr>
      <vt:lpstr>Q13b_C_Business_Impact</vt:lpstr>
      <vt:lpstr>Q13b_C_Cost_Explain</vt:lpstr>
      <vt:lpstr>Q13b_C_Cost_Impact</vt:lpstr>
      <vt:lpstr>Q13b_C_Disrupt_Explain</vt:lpstr>
      <vt:lpstr>Q13b_C_Disrupt_Impact</vt:lpstr>
      <vt:lpstr>Q13b_C_Exfiltr_Explain</vt:lpstr>
      <vt:lpstr>Q13b_C_Exfiltr_Impact</vt:lpstr>
      <vt:lpstr>Q13b_C_Idle_Explain</vt:lpstr>
      <vt:lpstr>Q13b_C_Idle_Impact</vt:lpstr>
      <vt:lpstr>Q13b_C_InfoDestroy_Explain</vt:lpstr>
      <vt:lpstr>Q13b_C_InfoDestroy_Impact</vt:lpstr>
      <vt:lpstr>Q13b_C_ITDamage_Explain</vt:lpstr>
      <vt:lpstr>Q13b_C_ITDamage_Impact</vt:lpstr>
      <vt:lpstr>Q13b_C_Other1_Explain</vt:lpstr>
      <vt:lpstr>Q13b_C_Other1_Impact</vt:lpstr>
      <vt:lpstr>Q13b_C_Other1_Specify</vt:lpstr>
      <vt:lpstr>Q13b_C_Other2_Explain</vt:lpstr>
      <vt:lpstr>Q13b_C_Other2_Impact</vt:lpstr>
      <vt:lpstr>Q13b_C_Other2_Specify</vt:lpstr>
      <vt:lpstr>Q13b_C_Other3_Explain</vt:lpstr>
      <vt:lpstr>Q13b_C_Other3_Impact</vt:lpstr>
      <vt:lpstr>Q13b_C_Other3_Specify</vt:lpstr>
      <vt:lpstr>Q13b_C_Personnel_Explain</vt:lpstr>
      <vt:lpstr>Q13b_C_Personnel_Impact</vt:lpstr>
      <vt:lpstr>Q13b_C_Reputation_Explain</vt:lpstr>
      <vt:lpstr>Q13b_C_Reputation_Impact</vt:lpstr>
      <vt:lpstr>Q13b_C_SoftwareDamage_Explain</vt:lpstr>
      <vt:lpstr>Q13b_C_SoftwareDamage_Impact</vt:lpstr>
      <vt:lpstr>Q13b_C_SoftwareTheft_Explain</vt:lpstr>
      <vt:lpstr>Q13b_C_SoftwareTheft_Impact</vt:lpstr>
      <vt:lpstr>Q13b_C_SystemDamage_Explain</vt:lpstr>
      <vt:lpstr>Q13b_C_SystemDamage_Impact</vt:lpstr>
      <vt:lpstr>Q13b_Comment</vt:lpstr>
      <vt:lpstr>Q14_B_Cyber</vt:lpstr>
      <vt:lpstr>Q14_B_DesignforAssembly</vt:lpstr>
      <vt:lpstr>Q14_B_DesignMfg</vt:lpstr>
      <vt:lpstr>Q14_B_Energy</vt:lpstr>
      <vt:lpstr>Q14_B_ExportAssist</vt:lpstr>
      <vt:lpstr>Q14_B_ExportLicense</vt:lpstr>
      <vt:lpstr>Q14_B_GovtProcurement</vt:lpstr>
      <vt:lpstr>Q14_B_LeanMfg</vt:lpstr>
      <vt:lpstr>Q14_B_MarketExpansion</vt:lpstr>
      <vt:lpstr>Q14_B_MatSourcing</vt:lpstr>
      <vt:lpstr>Q14_B_Other1</vt:lpstr>
      <vt:lpstr>Q14_B_Other1_Specify</vt:lpstr>
      <vt:lpstr>Q14_B_Other2</vt:lpstr>
      <vt:lpstr>Q14_B_Other2_Specify</vt:lpstr>
      <vt:lpstr>Q14_B_ProdDesign</vt:lpstr>
      <vt:lpstr>Q14_B_Prototyping</vt:lpstr>
      <vt:lpstr>Q14_B_QualityControl</vt:lpstr>
      <vt:lpstr>Q14_B_SBIR</vt:lpstr>
      <vt:lpstr>Q14_B_SupplyChain</vt:lpstr>
      <vt:lpstr>Q14_B_TechAccel</vt:lpstr>
      <vt:lpstr>Q14_Comment</vt:lpstr>
      <vt:lpstr>Q15_AuthEmail</vt:lpstr>
      <vt:lpstr>Q15_AuthName</vt:lpstr>
      <vt:lpstr>Q15_AuthPhone</vt:lpstr>
      <vt:lpstr>Q15_AuthTitle</vt:lpstr>
      <vt:lpstr>Q15_Comment</vt:lpstr>
      <vt:lpstr>Q15_DateCert</vt:lpstr>
      <vt:lpstr>Q15_FacilityName</vt:lpstr>
      <vt:lpstr>Q15_Hours</vt:lpstr>
      <vt:lpstr>Q15_OrgName</vt:lpstr>
      <vt:lpstr>Q15_OrgWebsite</vt:lpstr>
      <vt:lpstr>Q1a_A_OrgAddress</vt:lpstr>
      <vt:lpstr>Q1a_A_OrgCAGE</vt:lpstr>
      <vt:lpstr>Q1a_A_OrgCity</vt:lpstr>
      <vt:lpstr>Q1a_A_OrgName</vt:lpstr>
      <vt:lpstr>Q1a_A_OrgPhone</vt:lpstr>
      <vt:lpstr>Q1a_A_OrgState</vt:lpstr>
      <vt:lpstr>Q1a_A_OrgWebsite</vt:lpstr>
      <vt:lpstr>Q1a_A_OrgZip</vt:lpstr>
      <vt:lpstr>Q1a_B_ParentAddress</vt:lpstr>
      <vt:lpstr>Q1a_B_ParentCAGE</vt:lpstr>
      <vt:lpstr>Q1a_B_ParentCity</vt:lpstr>
      <vt:lpstr>Q1a_B_ParentCountry</vt:lpstr>
      <vt:lpstr>Q1a_B_ParentName</vt:lpstr>
      <vt:lpstr>Q1a_B_ParentState</vt:lpstr>
      <vt:lpstr>Q1a_B_ParentZip</vt:lpstr>
      <vt:lpstr>Q1a_C_PubPriv</vt:lpstr>
      <vt:lpstr>Q1a_C_Ticker</vt:lpstr>
      <vt:lpstr>Q1a_Comment</vt:lpstr>
      <vt:lpstr>Q1a_D_POCEmail</vt:lpstr>
      <vt:lpstr>Q1a_D_POCName</vt:lpstr>
      <vt:lpstr>Q1a_D_POCPhone</vt:lpstr>
      <vt:lpstr>Q1a_D_POCState</vt:lpstr>
      <vt:lpstr>Q1a_D_POCTitle</vt:lpstr>
      <vt:lpstr>Q1b_Comment</vt:lpstr>
      <vt:lpstr>Q1b_D_8a</vt:lpstr>
      <vt:lpstr>Q1b_D_HUBZone</vt:lpstr>
      <vt:lpstr>Q1b_D_Minority</vt:lpstr>
      <vt:lpstr>Q1b_D_SmallBus</vt:lpstr>
      <vt:lpstr>Q1b_D_Vet</vt:lpstr>
      <vt:lpstr>Q1b_D_Woman</vt:lpstr>
      <vt:lpstr>Q1c_A_CommercialPct</vt:lpstr>
      <vt:lpstr>Q1c_A_DefensePct</vt:lpstr>
      <vt:lpstr>Q1c_B_Comm_Aero_Pct</vt:lpstr>
      <vt:lpstr>Q1c_B_Comm_Auto_Pct</vt:lpstr>
      <vt:lpstr>Q1c_B_Comm_Comm_Pct</vt:lpstr>
      <vt:lpstr>Q1c_B_Comm_Comp_Pct</vt:lpstr>
      <vt:lpstr>Q1c_B_Comm_Consumer_Pct</vt:lpstr>
      <vt:lpstr>Q1c_B_Comm_Elec_Pct</vt:lpstr>
      <vt:lpstr>Q1c_B_Comm_Marine_Pct</vt:lpstr>
      <vt:lpstr>Q1c_B_Comm_Med_Pct</vt:lpstr>
      <vt:lpstr>Q1c_B_Comm_Other_Pct</vt:lpstr>
      <vt:lpstr>Q1c_B_Comm_Other_Specify</vt:lpstr>
      <vt:lpstr>Q1c_B_Comm_Space_Pct</vt:lpstr>
      <vt:lpstr>Q1c_C_Def_Aero_Pct</vt:lpstr>
      <vt:lpstr>Q1c_C_Def_C4_Pct</vt:lpstr>
      <vt:lpstr>Q1c_C_Def_Elec_Pct</vt:lpstr>
      <vt:lpstr>Q1c_C_Def_Marine_Pct</vt:lpstr>
      <vt:lpstr>Q1c_C_Def_Missile_Pct</vt:lpstr>
      <vt:lpstr>Q1c_C_Def_Other_Pct</vt:lpstr>
      <vt:lpstr>Q1c_C_Def_Other_Specify</vt:lpstr>
      <vt:lpstr>Q1c_C_Def_Space_Pct</vt:lpstr>
      <vt:lpstr>Q1c_C_Def_Vehic_Pct</vt:lpstr>
      <vt:lpstr>Q1c_Comment</vt:lpstr>
      <vt:lpstr>Q2_A_JV_Num</vt:lpstr>
      <vt:lpstr>Q2_A_MAD_Num</vt:lpstr>
      <vt:lpstr>Q2_Comment</vt:lpstr>
      <vt:lpstr>Q3a_A_BusOp_Explain</vt:lpstr>
      <vt:lpstr>Q3a_A_BusOp_Method</vt:lpstr>
      <vt:lpstr>Q3a_B_Reject_Busy_Explain</vt:lpstr>
      <vt:lpstr>Q3a_B_Reject_Busy_YN</vt:lpstr>
      <vt:lpstr>Q3a_B_Reject_Complex_Explain</vt:lpstr>
      <vt:lpstr>Q3a_B_Reject_Complex_YN</vt:lpstr>
      <vt:lpstr>Q3a_B_Reject_Credit_Explain</vt:lpstr>
      <vt:lpstr>Q3a_B_Reject_Credit_YN</vt:lpstr>
      <vt:lpstr>Q3a_B_Reject_DollarRecur_Explain</vt:lpstr>
      <vt:lpstr>Q3a_B_Reject_DollarRecur_YN</vt:lpstr>
      <vt:lpstr>Q3a_B_Reject_Freq_Explain</vt:lpstr>
      <vt:lpstr>Q3a_B_Reject_Freq_YN</vt:lpstr>
      <vt:lpstr>Q3a_B_Reject_Other_Explain</vt:lpstr>
      <vt:lpstr>Q3a_B_Reject_Other_Specify</vt:lpstr>
      <vt:lpstr>Q3a_B_Reject_Other_YN</vt:lpstr>
      <vt:lpstr>Q3a_B_Reject_RunSize_Explain</vt:lpstr>
      <vt:lpstr>Q3a_B_Reject_RunSize_YN</vt:lpstr>
      <vt:lpstr>Q3a_B_Reject_Value_Explain</vt:lpstr>
      <vt:lpstr>Q3a_B_Reject_Value_YN</vt:lpstr>
      <vt:lpstr>Q3a_Comment</vt:lpstr>
      <vt:lpstr>Q3b_A_Cost_Explain</vt:lpstr>
      <vt:lpstr>Q3b_A_Cost_Loc</vt:lpstr>
      <vt:lpstr>Q3b_A_Enviro_Explain</vt:lpstr>
      <vt:lpstr>Q3b_A_Enviro_Loc</vt:lpstr>
      <vt:lpstr>Q3b_A_Equip_Explain</vt:lpstr>
      <vt:lpstr>Q3b_A_Equip_Loc</vt:lpstr>
      <vt:lpstr>Q3b_A_Export_Explain</vt:lpstr>
      <vt:lpstr>Q3b_A_Export_Loc</vt:lpstr>
      <vt:lpstr>Q3b_A_Labor_Explain</vt:lpstr>
      <vt:lpstr>Q3b_A_Labor_Loc</vt:lpstr>
      <vt:lpstr>Q3b_A_Material_Explain</vt:lpstr>
      <vt:lpstr>Q3b_A_Material_Loc</vt:lpstr>
      <vt:lpstr>Q3b_A_Other1_Explain</vt:lpstr>
      <vt:lpstr>Q3b_A_Other1_Loc</vt:lpstr>
      <vt:lpstr>Q3b_A_Other1_Specify</vt:lpstr>
      <vt:lpstr>Q3b_A_Other2_Explain</vt:lpstr>
      <vt:lpstr>Q3b_A_Other2_Loc</vt:lpstr>
      <vt:lpstr>Q3b_A_Other2_Specify</vt:lpstr>
      <vt:lpstr>Q3b_A_Perform_Explain</vt:lpstr>
      <vt:lpstr>Q3b_A_Perform_Loc</vt:lpstr>
      <vt:lpstr>Q3b_A_Price_Explain</vt:lpstr>
      <vt:lpstr>Q3b_A_Price_Loc</vt:lpstr>
      <vt:lpstr>Q3b_A_Quality_Explain</vt:lpstr>
      <vt:lpstr>Q3b_A_Quality_Loc</vt:lpstr>
      <vt:lpstr>Q3b_A_RD_Explain</vt:lpstr>
      <vt:lpstr>Q3b_A_RD_Loc</vt:lpstr>
      <vt:lpstr>Q3b_A_Safety_Explain</vt:lpstr>
      <vt:lpstr>Q3b_A_Safety_Loc</vt:lpstr>
      <vt:lpstr>Q3b_A_Skilled_Explain</vt:lpstr>
      <vt:lpstr>Q3b_A_Skilled_Loc</vt:lpstr>
      <vt:lpstr>Q3b_A_Space_Explain</vt:lpstr>
      <vt:lpstr>Q3b_A_Space_Loc</vt:lpstr>
      <vt:lpstr>Q3b_A_Time_Explain</vt:lpstr>
      <vt:lpstr>Q3b_A_Time_Loc</vt:lpstr>
      <vt:lpstr>Q3b_A_Variability_Explain</vt:lpstr>
      <vt:lpstr>Q3b_A_Variability_Loc</vt:lpstr>
      <vt:lpstr>Q3b_A_Yield_Explain</vt:lpstr>
      <vt:lpstr>Q3b_A_Yield_Loc</vt:lpstr>
      <vt:lpstr>Q3b_Comment</vt:lpstr>
      <vt:lpstr>Q4a_A_Army</vt:lpstr>
      <vt:lpstr>Q4a_A_DHS</vt:lpstr>
      <vt:lpstr>Q4a_A_DOE</vt:lpstr>
      <vt:lpstr>Q4a_A_Intel</vt:lpstr>
      <vt:lpstr>Q4a_A_Marines</vt:lpstr>
      <vt:lpstr>Q4a_A_MDA</vt:lpstr>
      <vt:lpstr>Q4a_A_NASA</vt:lpstr>
      <vt:lpstr>Q4a_A_Navy</vt:lpstr>
      <vt:lpstr>Q4a_A_NOAA</vt:lpstr>
      <vt:lpstr>Q4a_A_Other1</vt:lpstr>
      <vt:lpstr>Q4a_A_Other1_Specify</vt:lpstr>
      <vt:lpstr>Q4a_A_Other2</vt:lpstr>
      <vt:lpstr>Q4a_A_Other2_Specify</vt:lpstr>
      <vt:lpstr>Q4a_A_Other3</vt:lpstr>
      <vt:lpstr>Q4a_A_Other3_Specify</vt:lpstr>
      <vt:lpstr>Q4a_A_Other4</vt:lpstr>
      <vt:lpstr>Q4a_A_Other4_Specify</vt:lpstr>
      <vt:lpstr>Q4a_A_Other5</vt:lpstr>
      <vt:lpstr>Q4a_A_Other5_Specify</vt:lpstr>
      <vt:lpstr>Q4a_A_USAF</vt:lpstr>
      <vt:lpstr>Q4a_B_TotalUSGSupport</vt:lpstr>
      <vt:lpstr>Q4a_Comment</vt:lpstr>
      <vt:lpstr>Q4b_A_DepUSG_Explain</vt:lpstr>
      <vt:lpstr>Q4b_A_DepUSG_YN</vt:lpstr>
      <vt:lpstr>Q4b_A_Integration</vt:lpstr>
      <vt:lpstr>Q4b_A_Integration_Explain</vt:lpstr>
      <vt:lpstr>Q4b_B_CapEx_Decrease</vt:lpstr>
      <vt:lpstr>Q4b_B_CapEx_Explain</vt:lpstr>
      <vt:lpstr>Q4b_B_CapEx_Increase</vt:lpstr>
      <vt:lpstr>Q4b_B_Costs_Decrease</vt:lpstr>
      <vt:lpstr>Q4b_B_Costs_Explain</vt:lpstr>
      <vt:lpstr>Q4b_B_Costs_Increase</vt:lpstr>
      <vt:lpstr>Q4b_B_Equipment_Decrease</vt:lpstr>
      <vt:lpstr>Q4b_B_Equipment_Explain</vt:lpstr>
      <vt:lpstr>Q4b_B_Equipment_Increase</vt:lpstr>
      <vt:lpstr>Q4b_B_Move_Decrease</vt:lpstr>
      <vt:lpstr>Q4b_B_Move_Explain</vt:lpstr>
      <vt:lpstr>Q4b_B_Move_Increase</vt:lpstr>
      <vt:lpstr>Q4b_B_NonUS_Decrease</vt:lpstr>
      <vt:lpstr>Q4b_B_NonUS_Explain</vt:lpstr>
      <vt:lpstr>Q4b_B_NonUS_Increase</vt:lpstr>
      <vt:lpstr>Q4b_B_Number_Decrease</vt:lpstr>
      <vt:lpstr>Q4b_B_Number_Explain</vt:lpstr>
      <vt:lpstr>Q4b_B_Number_Increase</vt:lpstr>
      <vt:lpstr>Q4b_B_Other1_Decrease</vt:lpstr>
      <vt:lpstr>Q4b_B_Other1_Explain</vt:lpstr>
      <vt:lpstr>Q4b_B_Other1_Increase</vt:lpstr>
      <vt:lpstr>Q4b_B_Other1_Specify</vt:lpstr>
      <vt:lpstr>Q4b_B_Other2_Decrease</vt:lpstr>
      <vt:lpstr>Q4b_B_Other2_Explain</vt:lpstr>
      <vt:lpstr>Q4b_B_Other2_Increase</vt:lpstr>
      <vt:lpstr>Q4b_B_Other2_Specify</vt:lpstr>
      <vt:lpstr>Q4b_B_RD_Decrease</vt:lpstr>
      <vt:lpstr>Q4b_B_RD_Explain</vt:lpstr>
      <vt:lpstr>Q4b_B_RD_Increase</vt:lpstr>
      <vt:lpstr>Q4b_B_Skills_Decrease</vt:lpstr>
      <vt:lpstr>Q4b_B_Skills_Explain</vt:lpstr>
      <vt:lpstr>Q4b_B_Skills_Increase</vt:lpstr>
      <vt:lpstr>Q4b_B_USG_Decrease</vt:lpstr>
      <vt:lpstr>Q4b_B_USG_Explain</vt:lpstr>
      <vt:lpstr>Q4b_B_USG_Increase</vt:lpstr>
      <vt:lpstr>Q4b_B_Viability_Decrease</vt:lpstr>
      <vt:lpstr>Q4b_B_Viability_Explain</vt:lpstr>
      <vt:lpstr>Q4b_B_Viability_Increase</vt:lpstr>
      <vt:lpstr>Q4b_Comment</vt:lpstr>
      <vt:lpstr>Q5a_B_MaxLayer</vt:lpstr>
      <vt:lpstr>Q5a_B_MinLayer</vt:lpstr>
      <vt:lpstr>Q5a_C_PE_Activities</vt:lpstr>
      <vt:lpstr>Q5a_C_PE_Activities_Explain</vt:lpstr>
      <vt:lpstr>Q5a_C_PE_Sectors</vt:lpstr>
      <vt:lpstr>Q5a_C_PE_Sectors_Explain</vt:lpstr>
      <vt:lpstr>Q5a_C_PE_YN</vt:lpstr>
      <vt:lpstr>Q5a_Comment</vt:lpstr>
      <vt:lpstr>Q5a_Flex_Conv_LeadFree_YN</vt:lpstr>
      <vt:lpstr>Q5a_Flex_Conv_TL_YN</vt:lpstr>
      <vt:lpstr>Q5a_Flex_HF_LeadFree_YN</vt:lpstr>
      <vt:lpstr>Q5a_Flex_HF_TL_YN</vt:lpstr>
      <vt:lpstr>Q5a_Flex_HS_LeadFree_YN</vt:lpstr>
      <vt:lpstr>Q5a_Flex_HS_TL_YN</vt:lpstr>
      <vt:lpstr>Q5a_Flex_Micro_LeadFree_YN</vt:lpstr>
      <vt:lpstr>Q5a_Flex_Micro_TL_YN</vt:lpstr>
      <vt:lpstr>Q5a_Flex_Multi_LeadFree_YN</vt:lpstr>
      <vt:lpstr>Q5a_Flex_Multi_TL_YN</vt:lpstr>
      <vt:lpstr>Q5a_ICSub_LeadFree_YN</vt:lpstr>
      <vt:lpstr>Q5a_ICSub_TL_YN</vt:lpstr>
      <vt:lpstr>Q5a_RigFlex_LeadFree_YN</vt:lpstr>
      <vt:lpstr>Q5a_RigFlex_TL_YN</vt:lpstr>
      <vt:lpstr>Q5a_Rigid_Conv_LeadFree_YN</vt:lpstr>
      <vt:lpstr>Q5a_Rigid_Conv_TL_YN</vt:lpstr>
      <vt:lpstr>Q5a_Rigid_HF_LeadFree_YN</vt:lpstr>
      <vt:lpstr>Q5a_Rigid_HF_TL_YN</vt:lpstr>
      <vt:lpstr>Q5a_Rigid_HS_LeadFree_YN</vt:lpstr>
      <vt:lpstr>Q5a_Rigid_HS_TL_YN</vt:lpstr>
      <vt:lpstr>Q5a_Rigid_Micro_LeadFree_YN</vt:lpstr>
      <vt:lpstr>Q5a_Rigid_Micro_YN</vt:lpstr>
      <vt:lpstr>Q5a_Rigid_Multi_LeadFree_YN</vt:lpstr>
      <vt:lpstr>Q5a_Rigid_Multi_TL_YN</vt:lpstr>
      <vt:lpstr>Q5b_A_Additive_Capable</vt:lpstr>
      <vt:lpstr>Q5b_A_Additive_Use</vt:lpstr>
      <vt:lpstr>Q5b_A_Direct_Capable</vt:lpstr>
      <vt:lpstr>Q5b_A_Direct_Use</vt:lpstr>
      <vt:lpstr>Q5b_A_DirectMetal_Capable</vt:lpstr>
      <vt:lpstr>Q5b_A_DirectMetal_Use</vt:lpstr>
      <vt:lpstr>Q5b_A_Drill_Capable</vt:lpstr>
      <vt:lpstr>Q5b_A_Drill_Use</vt:lpstr>
      <vt:lpstr>Q5b_A_DryFilm_Capable</vt:lpstr>
      <vt:lpstr>Q5b_A_DryFilm_Use</vt:lpstr>
      <vt:lpstr>Q5b_A_Electroless_Capable</vt:lpstr>
      <vt:lpstr>Q5b_A_Electroless_Use</vt:lpstr>
      <vt:lpstr>Q5b_A_Electrolytic_Capable</vt:lpstr>
      <vt:lpstr>Q5b_A_Electrolytic_Use</vt:lpstr>
      <vt:lpstr>Q5b_A_Embed_Capable</vt:lpstr>
      <vt:lpstr>Q5b_A_Embed_Use</vt:lpstr>
      <vt:lpstr>Q5b_A_HotAirLeadFree_Capable</vt:lpstr>
      <vt:lpstr>Q5b_A_HotAirLeadFree_Use</vt:lpstr>
      <vt:lpstr>Q5b_A_HotAirTL_Capable</vt:lpstr>
      <vt:lpstr>Q5b_A_HotAirTL_Use</vt:lpstr>
      <vt:lpstr>Q5b_A_Laser_Capable</vt:lpstr>
      <vt:lpstr>Q5b_A_Laser_Use</vt:lpstr>
      <vt:lpstr>Q5b_A_LPI_Capable</vt:lpstr>
      <vt:lpstr>Q5b_A_LPI_Use</vt:lpstr>
      <vt:lpstr>Q5b_A_Opto_Capable</vt:lpstr>
      <vt:lpstr>Q5b_A_Opto_Use</vt:lpstr>
      <vt:lpstr>Q5b_A_Other_Capable</vt:lpstr>
      <vt:lpstr>Q5b_A_Other_Specify</vt:lpstr>
      <vt:lpstr>Q5b_A_Other_Use</vt:lpstr>
      <vt:lpstr>Q5b_A_Photo_Capable</vt:lpstr>
      <vt:lpstr>Q5b_A_Photo_Use</vt:lpstr>
      <vt:lpstr>Q5b_A_Screen_Capable</vt:lpstr>
      <vt:lpstr>Q5b_A_Screen_Use</vt:lpstr>
      <vt:lpstr>Q5b_A_Thermal_Capable</vt:lpstr>
      <vt:lpstr>Q5b_A_Thermal_Use</vt:lpstr>
      <vt:lpstr>Q5b_A_ZAxis_Capable</vt:lpstr>
      <vt:lpstr>Q5b_A_ZAxis_Use</vt:lpstr>
      <vt:lpstr>Q5b_B_Max_Imped</vt:lpstr>
      <vt:lpstr>Q5b_B_Max_Imped_Explain</vt:lpstr>
      <vt:lpstr>Q5b_B_Max_Lamin</vt:lpstr>
      <vt:lpstr>Q5b_B_Max_Lamin_Explain</vt:lpstr>
      <vt:lpstr>Q5b_B_Max_Layers</vt:lpstr>
      <vt:lpstr>Q5b_B_Max_Layers_Explain</vt:lpstr>
      <vt:lpstr>Q5b_B_Max_Stacked</vt:lpstr>
      <vt:lpstr>Q5b_B_Max_Stacked_Explain</vt:lpstr>
      <vt:lpstr>Q5b_B_Max_Staggered</vt:lpstr>
      <vt:lpstr>Q5b_B_Max_Staggered_Explain</vt:lpstr>
      <vt:lpstr>Q5b_C_ViaFill_Facility_Explain</vt:lpstr>
      <vt:lpstr>Q5b_C_ViaFill_Facility_Process</vt:lpstr>
      <vt:lpstr>Q5b_C_ViaFill_Facility_YN</vt:lpstr>
      <vt:lpstr>Q5b_C_ViaFill_OtherNonUS_Explain</vt:lpstr>
      <vt:lpstr>Q5b_C_ViaFill_OtherNonUS_Process</vt:lpstr>
      <vt:lpstr>Q5b_C_ViaFill_OtherNonUS_YN</vt:lpstr>
      <vt:lpstr>Q5b_C_ViaFill_OtherUS_Explain</vt:lpstr>
      <vt:lpstr>Q5b_C_ViaFill_OtherUS_Process</vt:lpstr>
      <vt:lpstr>Q5b_C_ViaFill_OtherUS_YN</vt:lpstr>
      <vt:lpstr>Q5b_C_ViaFill_OwnNonUS_Explain</vt:lpstr>
      <vt:lpstr>Q5b_C_ViaFill_OwnNonUS_Process</vt:lpstr>
      <vt:lpstr>Q5b_C_ViaFill_OwnNonUS_YN</vt:lpstr>
      <vt:lpstr>Q5b_C_ViaFill_OwnUS_Explain</vt:lpstr>
      <vt:lpstr>Q5b_C_ViaFill_OwnUS_Process</vt:lpstr>
      <vt:lpstr>Q5b_C_ViaFill_OwnUS_YN</vt:lpstr>
      <vt:lpstr>Q5b_Comment</vt:lpstr>
      <vt:lpstr>Q5b_D_ChemSmear</vt:lpstr>
      <vt:lpstr>Q5b_D_Drill_Controlled</vt:lpstr>
      <vt:lpstr>Q5b_D_Drill_Laser</vt:lpstr>
      <vt:lpstr>Q5b_D_Drill_Through</vt:lpstr>
      <vt:lpstr>Q5b_D_Etchback</vt:lpstr>
      <vt:lpstr>Q5b_D_Laser</vt:lpstr>
      <vt:lpstr>Q5b_D_Nonconduct</vt:lpstr>
      <vt:lpstr>Q5b_D_Plasma</vt:lpstr>
      <vt:lpstr>Q5b_D_SolidCopper</vt:lpstr>
      <vt:lpstr>Q5c_A_1071_Explain</vt:lpstr>
      <vt:lpstr>Q5c_A_1071_Use</vt:lpstr>
      <vt:lpstr>Q5c_A_31032_Explain</vt:lpstr>
      <vt:lpstr>Q5c_A_31032_Use</vt:lpstr>
      <vt:lpstr>Q5c_A_50884_Explain</vt:lpstr>
      <vt:lpstr>Q5c_A_50884_Use</vt:lpstr>
      <vt:lpstr>Q5c_A_55110_Explain</vt:lpstr>
      <vt:lpstr>Q5c_A_55110_Use</vt:lpstr>
      <vt:lpstr>Q5c_A_6011_Explain</vt:lpstr>
      <vt:lpstr>Q5c_A_6011_Use</vt:lpstr>
      <vt:lpstr>Q5c_A_6012_Explain</vt:lpstr>
      <vt:lpstr>Q5c_A_6012_Use</vt:lpstr>
      <vt:lpstr>Q5c_A_6013_Explain</vt:lpstr>
      <vt:lpstr>Q5c_A_6013_Use</vt:lpstr>
      <vt:lpstr>Q5c_A_6015_Explain</vt:lpstr>
      <vt:lpstr>Q5c_A_6015_Use</vt:lpstr>
      <vt:lpstr>Q5c_A_6016_Explain</vt:lpstr>
      <vt:lpstr>Q5c_A_6016_Use</vt:lpstr>
      <vt:lpstr>Q5c_A_6017_Explain</vt:lpstr>
      <vt:lpstr>Q5c_A_6017_Use</vt:lpstr>
      <vt:lpstr>Q5c_A_6018_Explain</vt:lpstr>
      <vt:lpstr>Q5c_A_6018_Use</vt:lpstr>
      <vt:lpstr>Q5c_A_9001_Explain</vt:lpstr>
      <vt:lpstr>Q5c_A_9001_Use</vt:lpstr>
      <vt:lpstr>Q5c_A_9100_Explain</vt:lpstr>
      <vt:lpstr>Q5c_A_9100_Use</vt:lpstr>
      <vt:lpstr>Q5c_A_NADCAP_Explain</vt:lpstr>
      <vt:lpstr>Q5c_A_NADCAP_Use</vt:lpstr>
      <vt:lpstr>Q5c_A_Other1_Explain</vt:lpstr>
      <vt:lpstr>Q5c_A_Other1_Specify</vt:lpstr>
      <vt:lpstr>Q5c_A_Other1_Use</vt:lpstr>
      <vt:lpstr>Q5c_A_Other2_Explain</vt:lpstr>
      <vt:lpstr>Q5c_A_Other2_Specify</vt:lpstr>
      <vt:lpstr>Q5c_A_Other2_Use</vt:lpstr>
      <vt:lpstr>Q5c_B_TRB_Explain</vt:lpstr>
      <vt:lpstr>Q5c_B_TRB_YN</vt:lpstr>
      <vt:lpstr>Q5c_C_AS9102</vt:lpstr>
      <vt:lpstr>Q5c_C_Explain</vt:lpstr>
      <vt:lpstr>Q5c_C_InspectMethod</vt:lpstr>
      <vt:lpstr>Q5c_Comment</vt:lpstr>
      <vt:lpstr>Q5c_D_Continuity</vt:lpstr>
      <vt:lpstr>Q5c_D_Flying</vt:lpstr>
      <vt:lpstr>Q5c_D_HALT</vt:lpstr>
      <vt:lpstr>Q5c_D_HAST</vt:lpstr>
      <vt:lpstr>Q5c_D_HATS</vt:lpstr>
      <vt:lpstr>Q5c_D_Impedance</vt:lpstr>
      <vt:lpstr>Q5c_D_Interconnect</vt:lpstr>
      <vt:lpstr>Q5c_D_Isolation</vt:lpstr>
      <vt:lpstr>Q5c_D_Nails</vt:lpstr>
      <vt:lpstr>Q5c_D_TestAllNoPhase</vt:lpstr>
      <vt:lpstr>Q5c_E_MRP</vt:lpstr>
      <vt:lpstr>Q5c_E_StatProcessCtrl</vt:lpstr>
      <vt:lpstr>Q5d_A_Layers_2012</vt:lpstr>
      <vt:lpstr>Q5d_A_Layers_2013</vt:lpstr>
      <vt:lpstr>Q5d_A_Layers_2014</vt:lpstr>
      <vt:lpstr>Q5d_A_Layers_2015</vt:lpstr>
      <vt:lpstr>Q5d_A_Panels_2012</vt:lpstr>
      <vt:lpstr>Q5d_A_Panels_2013</vt:lpstr>
      <vt:lpstr>Q5d_A_Panels_2014</vt:lpstr>
      <vt:lpstr>Q5d_A_Panels_2015</vt:lpstr>
      <vt:lpstr>Q5d_B_12x18</vt:lpstr>
      <vt:lpstr>Q5d_B_12x24</vt:lpstr>
      <vt:lpstr>Q5d_B_18x24</vt:lpstr>
      <vt:lpstr>Q5d_B_21x24</vt:lpstr>
      <vt:lpstr>Q5d_B_24x30</vt:lpstr>
      <vt:lpstr>Q5d_B_24x36</vt:lpstr>
      <vt:lpstr>Q5d_B_9x12</vt:lpstr>
      <vt:lpstr>Q5d_B_Comments</vt:lpstr>
      <vt:lpstr>Q5d_B_Other</vt:lpstr>
      <vt:lpstr>Q5d_C_Capacity_Layers</vt:lpstr>
      <vt:lpstr>Q5d_C_Capacity_Panels</vt:lpstr>
      <vt:lpstr>Q5d_Comment</vt:lpstr>
      <vt:lpstr>Q5d_D_Explain</vt:lpstr>
      <vt:lpstr>Q5d_D_FrontEndShift_Current</vt:lpstr>
      <vt:lpstr>Q5d_D_FrontEndShift_Possible</vt:lpstr>
      <vt:lpstr>Q5d_D_ProdShift_Current</vt:lpstr>
      <vt:lpstr>Q5d_D_ProdShift_Possible</vt:lpstr>
      <vt:lpstr>Q5d_E_Utilization_2012</vt:lpstr>
      <vt:lpstr>Q5d_E_Utilization_2013</vt:lpstr>
      <vt:lpstr>Q5d_E_Utilization_2014</vt:lpstr>
      <vt:lpstr>Q5d_E_Utilization_2015</vt:lpstr>
      <vt:lpstr>Q5d_F_Explain</vt:lpstr>
      <vt:lpstr>Q5d_F_Weeksto100</vt:lpstr>
      <vt:lpstr>Q5d_F_Weeksto150</vt:lpstr>
      <vt:lpstr>Q5d_G_AmountEq_100</vt:lpstr>
      <vt:lpstr>Q5d_G_AmountEq_150</vt:lpstr>
      <vt:lpstr>Q5d_G_AmountEq_Explain</vt:lpstr>
      <vt:lpstr>Q5d_G_AvailEq_100</vt:lpstr>
      <vt:lpstr>Q5d_G_AvailEq_150</vt:lpstr>
      <vt:lpstr>Q5d_G_AvailEq_Explain</vt:lpstr>
      <vt:lpstr>Q5d_G_AvailInput_100</vt:lpstr>
      <vt:lpstr>Q5d_G_AvailInput_150</vt:lpstr>
      <vt:lpstr>Q5d_G_AvailInput_Explain</vt:lpstr>
      <vt:lpstr>Q5d_G_Labor_100</vt:lpstr>
      <vt:lpstr>Q5d_G_Labor_150</vt:lpstr>
      <vt:lpstr>Q5d_G_Labor_Explain</vt:lpstr>
      <vt:lpstr>Q5d_G_Other_100</vt:lpstr>
      <vt:lpstr>Q5d_G_Other_150</vt:lpstr>
      <vt:lpstr>Q5d_G_Other_Explain</vt:lpstr>
      <vt:lpstr>Q5d_G_QC_100</vt:lpstr>
      <vt:lpstr>Q5d_G_QC_150</vt:lpstr>
      <vt:lpstr>Q5d_G_QC_Explain</vt:lpstr>
      <vt:lpstr>Q5d_G_Space_100</vt:lpstr>
      <vt:lpstr>Q5d_G_Space_150</vt:lpstr>
      <vt:lpstr>Q5d_G_Space_Explain</vt:lpstr>
      <vt:lpstr>Q5e_B_FrontEnd_Comm_Change</vt:lpstr>
      <vt:lpstr>Q5e_B_FrontEnd_Comm_Explain</vt:lpstr>
      <vt:lpstr>Q5e_B_FrontEnd_Def_Change</vt:lpstr>
      <vt:lpstr>Q5e_B_FrontEnd_Def_Explain</vt:lpstr>
      <vt:lpstr>Q5e_C_Outsource_Comm_Country1</vt:lpstr>
      <vt:lpstr>Q5e_C_Outsource_Comm_Country2</vt:lpstr>
      <vt:lpstr>Q5e_C_Outsource_Comm_Country3</vt:lpstr>
      <vt:lpstr>Q5e_C_Outsource_Comm_YN</vt:lpstr>
      <vt:lpstr>Q5e_C_Outsource_Def_Country1</vt:lpstr>
      <vt:lpstr>Q5e_C_Outsource_Def_Country2</vt:lpstr>
      <vt:lpstr>Q5e_C_Outsource_Def_Country3</vt:lpstr>
      <vt:lpstr>Q5e_C_Outsource_Def_YN</vt:lpstr>
      <vt:lpstr>Q5e_C_OutsourceFrontEnd</vt:lpstr>
      <vt:lpstr>Q5e_C_OutsourceFrontEnd_Notify</vt:lpstr>
      <vt:lpstr>Q5e_C_OwnFrontEnd</vt:lpstr>
      <vt:lpstr>Q5e_C_ProvideFrontEnd</vt:lpstr>
      <vt:lpstr>Q5e_Comment</vt:lpstr>
      <vt:lpstr>Q5e_D_Bottleneck1</vt:lpstr>
      <vt:lpstr>Q5e_D_Bottleneck1_Explain</vt:lpstr>
      <vt:lpstr>Q5e_D_Bottleneck2</vt:lpstr>
      <vt:lpstr>Q5e_D_Bottleneck2_Explain</vt:lpstr>
      <vt:lpstr>Q5e_D_Bottleneck3</vt:lpstr>
      <vt:lpstr>Q5e_D_Bottleneck3_Explain</vt:lpstr>
      <vt:lpstr>Q5e_Flex_Conv_Change</vt:lpstr>
      <vt:lpstr>Q5e_Flex_Conv_Explain</vt:lpstr>
      <vt:lpstr>Q5e_Flex_HF_Change</vt:lpstr>
      <vt:lpstr>Q5e_Flex_HF_Explain</vt:lpstr>
      <vt:lpstr>Q5e_Flex_HS_Change</vt:lpstr>
      <vt:lpstr>Q5e_Flex_HS_Explain</vt:lpstr>
      <vt:lpstr>Q5e_Flex_Micro_Change</vt:lpstr>
      <vt:lpstr>Q5e_Flex_Micro_Explain</vt:lpstr>
      <vt:lpstr>Q5e_Flex_Multi_Change</vt:lpstr>
      <vt:lpstr>Q5e_Flex_Multi_Explain</vt:lpstr>
      <vt:lpstr>Q5e_ICSub_Change</vt:lpstr>
      <vt:lpstr>Q5e_ICSub_Explain</vt:lpstr>
      <vt:lpstr>Q5e_RigFlex_Change</vt:lpstr>
      <vt:lpstr>Q5e_RigFlex_Explain</vt:lpstr>
      <vt:lpstr>Q5e_Rigid_Conv_Change</vt:lpstr>
      <vt:lpstr>Q5e_Rigid_Conv_Explain</vt:lpstr>
      <vt:lpstr>Q5e_Rigid_HF_Change</vt:lpstr>
      <vt:lpstr>Q5e_Rigid_HF_Explain</vt:lpstr>
      <vt:lpstr>Q5e_Rigid_HS_Change</vt:lpstr>
      <vt:lpstr>Q5e_Rigid_HS_Explain</vt:lpstr>
      <vt:lpstr>Q5e_Rigid_Micro_Change</vt:lpstr>
      <vt:lpstr>Q5e_Rigid_Micro_Explain</vt:lpstr>
      <vt:lpstr>Q5e_Rigid_Multi_Change</vt:lpstr>
      <vt:lpstr>Q5e_Rigid_Multi_Explain</vt:lpstr>
      <vt:lpstr>Q6a_Comment</vt:lpstr>
      <vt:lpstr>Q6b_A1_Continue_Weeks</vt:lpstr>
      <vt:lpstr>Q6b_A2_Supplier_Weeks</vt:lpstr>
      <vt:lpstr>Q6b_A3_SuppProb_Explain</vt:lpstr>
      <vt:lpstr>Q6b_A3_SuppProb_YN</vt:lpstr>
      <vt:lpstr>Q6b_A4_RampUpMaterial_Explain</vt:lpstr>
      <vt:lpstr>Q6b_A4_RampUpMaterial_YN</vt:lpstr>
      <vt:lpstr>Q6b_B_InventoryDesc</vt:lpstr>
      <vt:lpstr>Q6b_B_InventoryExplain</vt:lpstr>
      <vt:lpstr>Q6b_C_Explain</vt:lpstr>
      <vt:lpstr>Q6b_C1_OnSite</vt:lpstr>
      <vt:lpstr>Q6b_C2_Local</vt:lpstr>
      <vt:lpstr>Q6b_Comment</vt:lpstr>
      <vt:lpstr>Q6c_B_Parts_Explain</vt:lpstr>
      <vt:lpstr>Q6c_B_Parts_NonUS</vt:lpstr>
      <vt:lpstr>Q6c_B_Parts_US</vt:lpstr>
      <vt:lpstr>Q6c_B_Service_Explain</vt:lpstr>
      <vt:lpstr>Q6c_B_Service_NonUS</vt:lpstr>
      <vt:lpstr>Q6c_B_Service_US</vt:lpstr>
      <vt:lpstr>Q6c_C_EquipLimits_Explain</vt:lpstr>
      <vt:lpstr>Q6c_C_EquipLimits_YN</vt:lpstr>
      <vt:lpstr>Q6c_C_TLEquip_Explain</vt:lpstr>
      <vt:lpstr>Q6c_C_TLEquip_YN</vt:lpstr>
      <vt:lpstr>Q6c_Comment</vt:lpstr>
      <vt:lpstr>Q6d_A_Counterfeit_Any</vt:lpstr>
      <vt:lpstr>Q6d_A_Counterfeit_Laminate</vt:lpstr>
      <vt:lpstr>Q6d_A_Counterfeit_Laminate_Explain</vt:lpstr>
      <vt:lpstr>Q6d_A_Counterfeit_Other</vt:lpstr>
      <vt:lpstr>Q6d_A_Counterfeit_Other_Explain</vt:lpstr>
      <vt:lpstr>Q6d_A_Counterfeit_Other_Specify</vt:lpstr>
      <vt:lpstr>Q6d_A_Counterfeit_Prepreg</vt:lpstr>
      <vt:lpstr>Q6d_A_Counterfeit_Prepreg_Explain</vt:lpstr>
      <vt:lpstr>Q6d_A_Counterfeit_Soldermask</vt:lpstr>
      <vt:lpstr>Q6d_A_Counterfeit_Soldermask_Explain</vt:lpstr>
      <vt:lpstr>Q6d_B_CheckAuth</vt:lpstr>
      <vt:lpstr>Q6d_B_Confirm</vt:lpstr>
      <vt:lpstr>Q6d_B_NonOEM</vt:lpstr>
      <vt:lpstr>Q6d_B_Other1</vt:lpstr>
      <vt:lpstr>Q6d_B_Other1_Specify</vt:lpstr>
      <vt:lpstr>Q6d_B_Other2</vt:lpstr>
      <vt:lpstr>Q6d_B_Other2_Specify</vt:lpstr>
      <vt:lpstr>Q6d_B_SystematicTest</vt:lpstr>
      <vt:lpstr>Q6d_Comment</vt:lpstr>
      <vt:lpstr>Q7_Comment</vt:lpstr>
      <vt:lpstr>Q7_Schedule</vt:lpstr>
      <vt:lpstr>Q7_Source</vt:lpstr>
      <vt:lpstr>Q7_TotalBare_NonUS_2012</vt:lpstr>
      <vt:lpstr>Q7_TotalBare_NonUS_2013</vt:lpstr>
      <vt:lpstr>Q7_TotalBare_NonUS_2014</vt:lpstr>
      <vt:lpstr>Q7_TotalBare_NonUS_2015</vt:lpstr>
      <vt:lpstr>Q7_TotalBare_US_2012</vt:lpstr>
      <vt:lpstr>Q7_TotalBare_US_2013</vt:lpstr>
      <vt:lpstr>Q7_TotalBare_US_2014</vt:lpstr>
      <vt:lpstr>Q7_TotalBare_US_2015</vt:lpstr>
      <vt:lpstr>Q7_TotalBareGovPct_NonUS_2012</vt:lpstr>
      <vt:lpstr>Q7_TotalBareGovPct_NonUS_2013</vt:lpstr>
      <vt:lpstr>Q7_TotalBareGovPct_NonUS_2014</vt:lpstr>
      <vt:lpstr>Q7_TotalBareGovPct_NonUS_2015</vt:lpstr>
      <vt:lpstr>Q7_TotalBareGovPct_US_2012</vt:lpstr>
      <vt:lpstr>Q7_TotalBareGovPct_US_2013</vt:lpstr>
      <vt:lpstr>Q7_TotalBareGovPct_US_2014</vt:lpstr>
      <vt:lpstr>Q7_TotalBareGovPct_US_2015</vt:lpstr>
      <vt:lpstr>Q7_TotalBoard_NonUS_2012</vt:lpstr>
      <vt:lpstr>Q7_TotalBoard_NonUS_2013</vt:lpstr>
      <vt:lpstr>Q7_TotalBoard_NonUS_2014</vt:lpstr>
      <vt:lpstr>Q7_TotalBoard_NonUS_2015</vt:lpstr>
      <vt:lpstr>Q7_TotalBoard_US_2012</vt:lpstr>
      <vt:lpstr>Q7_TotalBoard_US_2013</vt:lpstr>
      <vt:lpstr>Q7_TotalBoard_US_2014</vt:lpstr>
      <vt:lpstr>Q7_TotalBoard_US_2015</vt:lpstr>
      <vt:lpstr>Q7_TotalBoardGovPct_NonUS_2012</vt:lpstr>
      <vt:lpstr>Q7_TotalBoardGovPct_NonUS_2013</vt:lpstr>
      <vt:lpstr>Q7_TotalBoardGovPct_NonUS_2014</vt:lpstr>
      <vt:lpstr>Q7_TotalBoardGovPct_NonUS_2015</vt:lpstr>
      <vt:lpstr>Q7_TotalBoardGovPct_US_2012</vt:lpstr>
      <vt:lpstr>Q7_TotalBoardGovPct_US_2013</vt:lpstr>
      <vt:lpstr>Q7_TotalBoardGovPct_US_2014</vt:lpstr>
      <vt:lpstr>Q7_TotalBoardGovPct_US_2015</vt:lpstr>
      <vt:lpstr>Q7_TotalGovPct_NonUS_2012</vt:lpstr>
      <vt:lpstr>Q7_TotalGovPct_NonUS_2013</vt:lpstr>
      <vt:lpstr>Q7_TotalGovPct_NonUS_2014</vt:lpstr>
      <vt:lpstr>Q7_TotalGovPct_NonUS_2015</vt:lpstr>
      <vt:lpstr>Q7_TotalGovPct_US_2012</vt:lpstr>
      <vt:lpstr>Q7_TotalGovPct_US_2013</vt:lpstr>
      <vt:lpstr>Q7_TotalGovPct_US_2014</vt:lpstr>
      <vt:lpstr>Q7_TotalGovPct_US_2015</vt:lpstr>
      <vt:lpstr>Q7_TotalSales_NonUS_2012</vt:lpstr>
      <vt:lpstr>Q7_TotalSales_NonUS_2013</vt:lpstr>
      <vt:lpstr>Q7_TotalSales_NonUS_2014</vt:lpstr>
      <vt:lpstr>Q7_TotalSales_NonUS_2015</vt:lpstr>
      <vt:lpstr>Q7_TotalSales_US_2012</vt:lpstr>
      <vt:lpstr>Q7_TotalSales_US_2013</vt:lpstr>
      <vt:lpstr>Q7_TotalSales_US_2014</vt:lpstr>
      <vt:lpstr>Q7_TotalSales_US_2015</vt:lpstr>
      <vt:lpstr>Q8_BS_Schedule</vt:lpstr>
      <vt:lpstr>Q8_BS_Source</vt:lpstr>
      <vt:lpstr>Q8_Cash_2012</vt:lpstr>
      <vt:lpstr>Q8_Cash_2013</vt:lpstr>
      <vt:lpstr>Q8_Cash_2014</vt:lpstr>
      <vt:lpstr>Q8_Cash_2015</vt:lpstr>
      <vt:lpstr>Q8_COGS_2012</vt:lpstr>
      <vt:lpstr>Q8_COGS_2013</vt:lpstr>
      <vt:lpstr>Q8_COGS_2014</vt:lpstr>
      <vt:lpstr>Q8_COGS_2015</vt:lpstr>
      <vt:lpstr>Q8_Comment</vt:lpstr>
      <vt:lpstr>Q8_CurrentAssets_2012</vt:lpstr>
      <vt:lpstr>Q8_CurrentAssets_2013</vt:lpstr>
      <vt:lpstr>Q8_CurrentAssets_2014</vt:lpstr>
      <vt:lpstr>Q8_CurrentAssets_2015</vt:lpstr>
      <vt:lpstr>Q8_CurrentLiab_2012</vt:lpstr>
      <vt:lpstr>Q8_CurrentLiab_2013</vt:lpstr>
      <vt:lpstr>Q8_CurrentLiab_2014</vt:lpstr>
      <vt:lpstr>Q8_CurrentLiab_2015</vt:lpstr>
      <vt:lpstr>Q8_EBIT_2012</vt:lpstr>
      <vt:lpstr>Q8_EBIT_2013</vt:lpstr>
      <vt:lpstr>Q8_EBIT_2014</vt:lpstr>
      <vt:lpstr>Q8_EBIT_2015</vt:lpstr>
      <vt:lpstr>Q8_Inv_2012</vt:lpstr>
      <vt:lpstr>Q8_Inv_2013</vt:lpstr>
      <vt:lpstr>Q8_Inv_2014</vt:lpstr>
      <vt:lpstr>Q8_Inv_2015</vt:lpstr>
      <vt:lpstr>Q8_IS_Schedule</vt:lpstr>
      <vt:lpstr>Q8_IS_Source</vt:lpstr>
      <vt:lpstr>Q8_NetInc_2012</vt:lpstr>
      <vt:lpstr>Q8_NetInc_2013</vt:lpstr>
      <vt:lpstr>Q8_NetInc_2014</vt:lpstr>
      <vt:lpstr>Q8_NetInc_2015</vt:lpstr>
      <vt:lpstr>Q8_NetSales_2012</vt:lpstr>
      <vt:lpstr>Q8_NetSales_2013</vt:lpstr>
      <vt:lpstr>Q8_NetSales_2014</vt:lpstr>
      <vt:lpstr>Q8_NetSales_2015</vt:lpstr>
      <vt:lpstr>Q8_OpInc_2012</vt:lpstr>
      <vt:lpstr>Q8_OpInc_2013</vt:lpstr>
      <vt:lpstr>Q8_OpInc_2014</vt:lpstr>
      <vt:lpstr>Q8_OpInc_2015</vt:lpstr>
      <vt:lpstr>Q8_OwnersEq_2012</vt:lpstr>
      <vt:lpstr>Q8_OwnersEq_2013</vt:lpstr>
      <vt:lpstr>Q8_OwnersEq_2014</vt:lpstr>
      <vt:lpstr>Q8_OwnersEq_2015</vt:lpstr>
      <vt:lpstr>Q8_RetainedEarn_2012</vt:lpstr>
      <vt:lpstr>Q8_RetainedEarn_2013</vt:lpstr>
      <vt:lpstr>Q8_RetainedEarn_2014</vt:lpstr>
      <vt:lpstr>Q8_RetainedEarn_2015</vt:lpstr>
      <vt:lpstr>Q8_TotalAssets_2012</vt:lpstr>
      <vt:lpstr>Q8_TotalAssets_2013</vt:lpstr>
      <vt:lpstr>Q8_TotalAssets_2014</vt:lpstr>
      <vt:lpstr>Q8_TotalAssets_2015</vt:lpstr>
      <vt:lpstr>Q8_TotalLiab_2012</vt:lpstr>
      <vt:lpstr>Q8_TotalLiab_2013</vt:lpstr>
      <vt:lpstr>Q8_TotalLiab_2014</vt:lpstr>
      <vt:lpstr>Q8_TotalLiab_2015</vt:lpstr>
      <vt:lpstr>Q9a_Comment</vt:lpstr>
      <vt:lpstr>Q9a_RD_Expend_AppliedPct_2012</vt:lpstr>
      <vt:lpstr>Q9a_RD_Expend_AppliedPct_2013</vt:lpstr>
      <vt:lpstr>Q9a_RD_Expend_AppliedPct_2014</vt:lpstr>
      <vt:lpstr>Q9a_RD_Expend_AppliedPct_2015</vt:lpstr>
      <vt:lpstr>Q9a_RD_Expend_BareDefPct_2012</vt:lpstr>
      <vt:lpstr>Q9a_RD_Expend_BareDefPct_2013</vt:lpstr>
      <vt:lpstr>Q9a_RD_Expend_BareDefPct_2014</vt:lpstr>
      <vt:lpstr>Q9a_RD_Expend_BareDefPct_2015</vt:lpstr>
      <vt:lpstr>Q9a_RD_Expend_BarePct_2012</vt:lpstr>
      <vt:lpstr>Q9a_RD_Expend_BarePct_2013</vt:lpstr>
      <vt:lpstr>Q9a_RD_Expend_BarePct_2014</vt:lpstr>
      <vt:lpstr>Q9a_RD_Expend_BarePct_2015</vt:lpstr>
      <vt:lpstr>Q9a_RD_Expend_BasicPct_2012</vt:lpstr>
      <vt:lpstr>Q9a_RD_Expend_BasicPct_2013</vt:lpstr>
      <vt:lpstr>Q9a_RD_Expend_BasicPct_2014</vt:lpstr>
      <vt:lpstr>Q9a_RD_Expend_BasicPct_2015</vt:lpstr>
      <vt:lpstr>Q9a_RD_Expend_PPDPct_2012</vt:lpstr>
      <vt:lpstr>Q9a_RD_Expend_PPDPct_2013</vt:lpstr>
      <vt:lpstr>Q9a_RD_Expend_PPDPct_2014</vt:lpstr>
      <vt:lpstr>Q9a_RD_Expend_PPDPct_2015</vt:lpstr>
      <vt:lpstr>Q9a_RD_Expend_Total_2012</vt:lpstr>
      <vt:lpstr>Q9a_RD_Expend_Total_2013</vt:lpstr>
      <vt:lpstr>Q9a_RD_Expend_Total_2014</vt:lpstr>
      <vt:lpstr>Q9a_RD_Expend_Total_2015</vt:lpstr>
      <vt:lpstr>Q9a_RD_Fund_IndustryPct_2012</vt:lpstr>
      <vt:lpstr>Q9a_RD_Fund_IndustryPct_2013</vt:lpstr>
      <vt:lpstr>Q9a_RD_Fund_IndustryPct_2014</vt:lpstr>
      <vt:lpstr>Q9a_RD_Fund_IndustryPct_2015</vt:lpstr>
      <vt:lpstr>Q9a_RD_Fund_IRADPct_2012</vt:lpstr>
      <vt:lpstr>Q9a_RD_Fund_IRADPct_2013</vt:lpstr>
      <vt:lpstr>Q9a_RD_Fund_IRADPct_2014</vt:lpstr>
      <vt:lpstr>Q9a_RD_Fund_IRADPct_2015</vt:lpstr>
      <vt:lpstr>Q9a_RD_Fund_LocalPct_2012</vt:lpstr>
      <vt:lpstr>Q9a_RD_Fund_LocalPct_2013</vt:lpstr>
      <vt:lpstr>Q9a_RD_Fund_LocalPct_2014</vt:lpstr>
      <vt:lpstr>Q9a_RD_Fund_LocalPct_2015</vt:lpstr>
      <vt:lpstr>Q9a_RD_Fund_NonUSPct_2012</vt:lpstr>
      <vt:lpstr>Q9a_RD_Fund_NonUSPct_2013</vt:lpstr>
      <vt:lpstr>Q9a_RD_Fund_NonUSPct_2014</vt:lpstr>
      <vt:lpstr>Q9a_RD_Fund_NonUSPct_2015</vt:lpstr>
      <vt:lpstr>Q9a_RD_Fund_Other_Specify</vt:lpstr>
      <vt:lpstr>Q9a_RD_Fund_OtherPct_2012</vt:lpstr>
      <vt:lpstr>Q9a_RD_Fund_OtherPct_2013</vt:lpstr>
      <vt:lpstr>Q9a_RD_Fund_OtherPct_2014</vt:lpstr>
      <vt:lpstr>Q9a_RD_Fund_OtherPct_2015</vt:lpstr>
      <vt:lpstr>Q9a_RD_Fund_Total_2012</vt:lpstr>
      <vt:lpstr>Q9a_RD_Fund_Total_2013</vt:lpstr>
      <vt:lpstr>Q9a_RD_Fund_Total_2014</vt:lpstr>
      <vt:lpstr>Q9a_RD_Fund_Total_2015</vt:lpstr>
      <vt:lpstr>Q9a_RD_Fund_UniPct_2012</vt:lpstr>
      <vt:lpstr>Q9a_RD_Fund_UniPct_2013</vt:lpstr>
      <vt:lpstr>Q9a_RD_Fund_UniPct_2014</vt:lpstr>
      <vt:lpstr>Q9a_RD_Fund_UniPct_2015</vt:lpstr>
      <vt:lpstr>Q9a_RD_Fund_USGPct_2012</vt:lpstr>
      <vt:lpstr>Q9a_RD_Fund_USGPct_2013</vt:lpstr>
      <vt:lpstr>Q9a_RD_Fund_USGPct_2014</vt:lpstr>
      <vt:lpstr>Q9a_RD_Fund_USGPct_2015</vt:lpstr>
      <vt:lpstr>Q9a_RD_YN</vt:lpstr>
      <vt:lpstr>Q9a_Schedule</vt:lpstr>
      <vt:lpstr>Q9a_Source</vt:lpstr>
      <vt:lpstr>Q9b_A_Priority1_Explain</vt:lpstr>
      <vt:lpstr>Q9b_A_Priority1_Select</vt:lpstr>
      <vt:lpstr>Q9b_A_Priority2_Explain</vt:lpstr>
      <vt:lpstr>Q9b_A_Priority2_Select</vt:lpstr>
      <vt:lpstr>Q9b_A_Priority3_Explain</vt:lpstr>
      <vt:lpstr>Q9b_A_Priority3_Select</vt:lpstr>
      <vt:lpstr>Q9b_A_Priority4_Explain</vt:lpstr>
      <vt:lpstr>Q9b_A_Priority4_Select</vt:lpstr>
      <vt:lpstr>Q9b_A_Priority5_Explain</vt:lpstr>
      <vt:lpstr>Q9b_A_Priority5_Select</vt:lpstr>
      <vt:lpstr>Q9b_B_CompAdv_Explain</vt:lpstr>
      <vt:lpstr>Q9b_B_CompAdv_YN</vt:lpstr>
      <vt:lpstr>Q9b_B_Industry_Explain</vt:lpstr>
      <vt:lpstr>Q9b_B_Industry_YN</vt:lpstr>
      <vt:lpstr>Q9b_B_Other1_Explain</vt:lpstr>
      <vt:lpstr>Q9b_B_Other1_Specify</vt:lpstr>
      <vt:lpstr>Q9b_B_Other1_YN</vt:lpstr>
      <vt:lpstr>Q9b_B_Other2_Explain</vt:lpstr>
      <vt:lpstr>Q9b_B_Other2_Specify</vt:lpstr>
      <vt:lpstr>Q9b_B_Other2_YN</vt:lpstr>
      <vt:lpstr>Q9b_B_Other3_Explain</vt:lpstr>
      <vt:lpstr>Q9b_B_Other3_Specify</vt:lpstr>
      <vt:lpstr>Q9b_B_Other3_YN</vt:lpstr>
      <vt:lpstr>Q9b_B_Requirements_Explain</vt:lpstr>
      <vt:lpstr>Q9b_B_Requirements_YN</vt:lpstr>
      <vt:lpstr>Q9b_C_USGImpact_Explain</vt:lpstr>
      <vt:lpstr>Q9b_C_USGImpact_YN</vt:lpstr>
      <vt:lpstr>Q9b_Comment</vt:lpstr>
      <vt:lpstr>Q9b_D_DODFocus1_Explain</vt:lpstr>
      <vt:lpstr>Q9b_D_DODFocus1_Select</vt:lpstr>
      <vt:lpstr>Q9b_D_DODFocus2_Explain</vt:lpstr>
      <vt:lpstr>Q9b_D_DODFocus2_Select</vt:lpstr>
      <vt:lpstr>Q9b_D_DODFocus3_Explain</vt:lpstr>
      <vt:lpstr>Q9b_D_DODFocus3_Select</vt:lpstr>
      <vt:lpstr>Q9b_D_DODHelp_Explain</vt:lpstr>
      <vt:lpstr>Q9b_D_DODHelp_YN</vt:lpstr>
      <vt:lpstr>RDPriorities</vt:lpstr>
      <vt:lpstr>RespType</vt:lpstr>
      <vt:lpstr>Risk2012</vt:lpstr>
      <vt:lpstr>Risk2013</vt:lpstr>
      <vt:lpstr>Risk2014</vt:lpstr>
      <vt:lpstr>Risk2015</vt:lpstr>
      <vt:lpstr>RiskFinalRating</vt:lpstr>
      <vt:lpstr>RiskFinalScore</vt:lpstr>
      <vt:lpstr>RP_A_OrgType</vt:lpstr>
      <vt:lpstr>RP_B_Assembly_YN</vt:lpstr>
      <vt:lpstr>RP_B_DesignYN</vt:lpstr>
      <vt:lpstr>RP_B_ManufactureYN</vt:lpstr>
      <vt:lpstr>RP_C_OrgStructure</vt:lpstr>
      <vt:lpstr>Shifts</vt:lpstr>
      <vt:lpstr>SoleSingle</vt:lpstr>
      <vt:lpstr>State</vt:lpstr>
      <vt:lpstr>SupportType</vt:lpstr>
      <vt:lpstr>USNon</vt:lpstr>
      <vt:lpstr>WhoResp</vt:lpstr>
      <vt:lpstr>YearType</vt:lpstr>
      <vt:lpstr>YesNo</vt:lpstr>
      <vt:lpstr>YesNoNA</vt:lpstr>
      <vt:lpstr>YesNoUnk</vt:lpstr>
    </vt:vector>
  </TitlesOfParts>
  <Company>US DOC Bureau of Industry 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Nelson</dc:creator>
  <cp:lastModifiedBy> </cp:lastModifiedBy>
  <cp:lastPrinted>2015-10-23T15:42:56Z</cp:lastPrinted>
  <dcterms:created xsi:type="dcterms:W3CDTF">2014-08-12T12:50:49Z</dcterms:created>
  <dcterms:modified xsi:type="dcterms:W3CDTF">2016-01-08T14:43:54Z</dcterms:modified>
</cp:coreProperties>
</file>