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20250" windowHeight="7575" tabRatio="871" activeTab="1"/>
  </bookViews>
  <sheets>
    <sheet name="Cover" sheetId="1" r:id="rId1"/>
    <sheet name="FCRA (V)" sheetId="5" r:id="rId2"/>
  </sheets>
  <definedNames>
    <definedName name="_ftn1" localSheetId="1">'FCRA (V)'!$A$42</definedName>
  </definedNames>
  <calcPr calcId="145621"/>
</workbook>
</file>

<file path=xl/calcChain.xml><?xml version="1.0" encoding="utf-8"?>
<calcChain xmlns="http://schemas.openxmlformats.org/spreadsheetml/2006/main">
  <c r="BE35" i="5" l="1"/>
  <c r="BE34" i="5"/>
  <c r="BE9" i="5"/>
  <c r="BE8" i="5"/>
  <c r="BE7" i="5"/>
  <c r="BE6" i="5"/>
  <c r="BE5" i="5"/>
  <c r="AN35" i="5"/>
  <c r="AN34" i="5"/>
  <c r="T35" i="5"/>
  <c r="T34" i="5"/>
  <c r="T6" i="5"/>
  <c r="T5" i="5"/>
  <c r="C35" i="5"/>
  <c r="C34" i="5"/>
  <c r="C14" i="5"/>
  <c r="C13" i="5"/>
  <c r="C11" i="5"/>
  <c r="C9" i="5"/>
  <c r="C8" i="5"/>
  <c r="C7" i="5"/>
  <c r="C5" i="5"/>
  <c r="E30" i="1"/>
  <c r="E29" i="1"/>
  <c r="E28" i="1"/>
  <c r="E27" i="1"/>
  <c r="CC30" i="5"/>
  <c r="BW23" i="5"/>
  <c r="BW21" i="5"/>
  <c r="BW20" i="5"/>
  <c r="BW19" i="5"/>
  <c r="BW18" i="5"/>
  <c r="BW15" i="5"/>
  <c r="CK9" i="5"/>
  <c r="CD6" i="5"/>
  <c r="AQ34" i="5" l="1"/>
  <c r="AX34" i="5" s="1"/>
  <c r="AY34" i="5" s="1"/>
  <c r="AL5" i="5"/>
  <c r="AM5" i="5" s="1"/>
  <c r="CG9" i="5"/>
  <c r="CI9" i="5"/>
  <c r="F5" i="5"/>
  <c r="I5" i="5" s="1"/>
  <c r="J5" i="5" s="1"/>
  <c r="W5" i="5"/>
  <c r="Z5" i="5" s="1"/>
  <c r="AA5" i="5" s="1"/>
  <c r="BH5" i="5"/>
  <c r="AF6" i="5"/>
  <c r="V6" i="5"/>
  <c r="AL6" i="5"/>
  <c r="AM6" i="5" s="1"/>
  <c r="BH6" i="5"/>
  <c r="BX6" i="5"/>
  <c r="BY6" i="5" s="1"/>
  <c r="BZ6" i="5" s="1"/>
  <c r="CE6" i="5"/>
  <c r="CF6" i="5"/>
  <c r="CQ6" i="5"/>
  <c r="CQ37" i="5" s="1"/>
  <c r="CZ37" i="5" s="1"/>
  <c r="F7" i="5"/>
  <c r="M7" i="5" s="1"/>
  <c r="N7" i="5" s="1"/>
  <c r="AL7" i="5"/>
  <c r="AM7" i="5" s="1"/>
  <c r="BH7" i="5"/>
  <c r="BM7" i="5" s="1"/>
  <c r="BN7" i="5" s="1"/>
  <c r="BX7" i="5"/>
  <c r="BY7" i="5" s="1"/>
  <c r="CC7" i="5"/>
  <c r="CD7" i="5" s="1"/>
  <c r="E8" i="5"/>
  <c r="F8" i="5" s="1"/>
  <c r="O8" i="5" s="1"/>
  <c r="AL8" i="5"/>
  <c r="AM8" i="5" s="1"/>
  <c r="AN8" i="5" s="1"/>
  <c r="AQ8" i="5" s="1"/>
  <c r="AP8" i="5"/>
  <c r="BH8" i="5"/>
  <c r="BM8" i="5" s="1"/>
  <c r="BN8" i="5" s="1"/>
  <c r="BI8" i="5"/>
  <c r="BJ8" i="5" s="1"/>
  <c r="F9" i="5"/>
  <c r="I9" i="5" s="1"/>
  <c r="J9" i="5" s="1"/>
  <c r="AL9" i="5"/>
  <c r="AM9" i="5"/>
  <c r="AN9" i="5" s="1"/>
  <c r="AP9" i="5"/>
  <c r="BH9" i="5"/>
  <c r="BM9" i="5" s="1"/>
  <c r="BN9" i="5" s="1"/>
  <c r="BX10" i="5"/>
  <c r="BY10" i="5" s="1"/>
  <c r="CC10" i="5"/>
  <c r="CD10" i="5" s="1"/>
  <c r="F11" i="5"/>
  <c r="M11" i="5" s="1"/>
  <c r="N11" i="5" s="1"/>
  <c r="CI11" i="5"/>
  <c r="CK11" i="5"/>
  <c r="BX12" i="5"/>
  <c r="BY12" i="5" s="1"/>
  <c r="CC12" i="5"/>
  <c r="CD12" i="5" s="1"/>
  <c r="F13" i="5"/>
  <c r="E14" i="5"/>
  <c r="F14" i="5" s="1"/>
  <c r="I14" i="5" s="1"/>
  <c r="J14" i="5" s="1"/>
  <c r="BX15" i="5"/>
  <c r="CC15" i="5"/>
  <c r="CD15" i="5" s="1"/>
  <c r="BX18" i="5"/>
  <c r="CC18" i="5"/>
  <c r="CD18" i="5" s="1"/>
  <c r="BX19" i="5"/>
  <c r="CC19" i="5"/>
  <c r="CD19" i="5" s="1"/>
  <c r="BX20" i="5"/>
  <c r="CC20" i="5"/>
  <c r="CD20" i="5" s="1"/>
  <c r="BX21" i="5"/>
  <c r="CC21" i="5"/>
  <c r="CD21" i="5" s="1"/>
  <c r="BX23" i="5"/>
  <c r="CB23" i="5"/>
  <c r="CC23" i="5" s="1"/>
  <c r="CD23" i="5" s="1"/>
  <c r="BX28" i="5"/>
  <c r="BY28" i="5" s="1"/>
  <c r="CC28" i="5"/>
  <c r="CD28" i="5" s="1"/>
  <c r="CG29" i="5"/>
  <c r="CI29" i="5"/>
  <c r="BX30" i="5"/>
  <c r="BY30" i="5" s="1"/>
  <c r="CD30" i="5"/>
  <c r="F34" i="5"/>
  <c r="W34" i="5"/>
  <c r="Z34" i="5" s="1"/>
  <c r="AA34" i="5" s="1"/>
  <c r="BH34" i="5"/>
  <c r="BX34" i="5"/>
  <c r="BY34" i="5" s="1"/>
  <c r="CC34" i="5"/>
  <c r="CD34" i="5" s="1"/>
  <c r="F35" i="5"/>
  <c r="W35" i="5"/>
  <c r="X35" i="5" s="1"/>
  <c r="Y35" i="5" s="1"/>
  <c r="AQ35" i="5"/>
  <c r="AR35" i="5" s="1"/>
  <c r="AS35" i="5" s="1"/>
  <c r="BH35" i="5"/>
  <c r="BX35" i="5"/>
  <c r="BY35" i="5" s="1"/>
  <c r="CC35" i="5"/>
  <c r="CD35" i="5" s="1"/>
  <c r="F36" i="5"/>
  <c r="I36" i="5" s="1"/>
  <c r="J36" i="5" s="1"/>
  <c r="W36" i="5"/>
  <c r="AQ36" i="5"/>
  <c r="AX36" i="5" s="1"/>
  <c r="AY36" i="5" s="1"/>
  <c r="AT36" i="5"/>
  <c r="AU36" i="5" s="1"/>
  <c r="BH36" i="5"/>
  <c r="BK36" i="5" s="1"/>
  <c r="BL36" i="5" s="1"/>
  <c r="BX36" i="5"/>
  <c r="BY36" i="5" s="1"/>
  <c r="CC36" i="5"/>
  <c r="CD36" i="5" s="1"/>
  <c r="K13" i="5"/>
  <c r="L13" i="5" s="1"/>
  <c r="AD34" i="5"/>
  <c r="AE34" i="5" s="1"/>
  <c r="M13" i="5"/>
  <c r="N13" i="5" s="1"/>
  <c r="BI34" i="5"/>
  <c r="BJ34" i="5" s="1"/>
  <c r="AD36" i="5"/>
  <c r="AE36" i="5" s="1"/>
  <c r="AB34" i="5"/>
  <c r="AC34" i="5" s="1"/>
  <c r="BI9" i="5"/>
  <c r="BJ9" i="5" s="1"/>
  <c r="BO9" i="5"/>
  <c r="BP9" i="5" s="1"/>
  <c r="BK9" i="5"/>
  <c r="BL9" i="5"/>
  <c r="BO35" i="5"/>
  <c r="BP35" i="5" s="1"/>
  <c r="AT34" i="5"/>
  <c r="AU34" i="5" s="1"/>
  <c r="AR34" i="5"/>
  <c r="AS34" i="5" s="1"/>
  <c r="AV34" i="5"/>
  <c r="AW34" i="5" s="1"/>
  <c r="BK5" i="5"/>
  <c r="BL5" i="5" s="1"/>
  <c r="BM5" i="5"/>
  <c r="BN5" i="5"/>
  <c r="BI5" i="5"/>
  <c r="BJ5" i="5" s="1"/>
  <c r="BO5" i="5"/>
  <c r="BP5" i="5" s="1"/>
  <c r="AV8" i="5" l="1"/>
  <c r="AW8" i="5" s="1"/>
  <c r="AX8" i="5"/>
  <c r="AY8" i="5" s="1"/>
  <c r="M36" i="5"/>
  <c r="N36" i="5" s="1"/>
  <c r="BI36" i="5"/>
  <c r="BJ36" i="5" s="1"/>
  <c r="K36" i="5"/>
  <c r="L36" i="5" s="1"/>
  <c r="AN7" i="5"/>
  <c r="AQ7" i="5" s="1"/>
  <c r="AX35" i="5"/>
  <c r="AY35" i="5" s="1"/>
  <c r="BI7" i="5"/>
  <c r="BJ7" i="5" s="1"/>
  <c r="BQ7" i="5" s="1"/>
  <c r="BK8" i="5"/>
  <c r="BL8" i="5" s="1"/>
  <c r="AN6" i="5"/>
  <c r="AQ6" i="5" s="1"/>
  <c r="AQ5" i="5"/>
  <c r="AR5" i="5" s="1"/>
  <c r="AS5" i="5" s="1"/>
  <c r="AN5" i="5"/>
  <c r="BO8" i="5"/>
  <c r="BP8" i="5" s="1"/>
  <c r="BO7" i="5"/>
  <c r="BP7" i="5" s="1"/>
  <c r="BK7" i="5"/>
  <c r="BL7" i="5" s="1"/>
  <c r="AB35" i="5"/>
  <c r="AC35" i="5" s="1"/>
  <c r="X5" i="5"/>
  <c r="Y5" i="5" s="1"/>
  <c r="G7" i="5"/>
  <c r="H7" i="5" s="1"/>
  <c r="AD5" i="5"/>
  <c r="AE5" i="5" s="1"/>
  <c r="AR36" i="5"/>
  <c r="AS36" i="5" s="1"/>
  <c r="AZ36" i="5" s="1"/>
  <c r="AV36" i="5"/>
  <c r="AW36" i="5" s="1"/>
  <c r="AD35" i="5"/>
  <c r="AE35" i="5" s="1"/>
  <c r="BQ5" i="5"/>
  <c r="G14" i="5"/>
  <c r="H14" i="5" s="1"/>
  <c r="AR8" i="5"/>
  <c r="AS8" i="5" s="1"/>
  <c r="AB5" i="5"/>
  <c r="AC5" i="5" s="1"/>
  <c r="K7" i="5"/>
  <c r="L7" i="5" s="1"/>
  <c r="I7" i="5"/>
  <c r="J7" i="5" s="1"/>
  <c r="Z35" i="5"/>
  <c r="AA35" i="5" s="1"/>
  <c r="BO36" i="5"/>
  <c r="BP36" i="5" s="1"/>
  <c r="AZ34" i="5"/>
  <c r="X34" i="5"/>
  <c r="Y34" i="5" s="1"/>
  <c r="AG34" i="5" s="1"/>
  <c r="BM36" i="5"/>
  <c r="BN36" i="5" s="1"/>
  <c r="BQ36" i="5" s="1"/>
  <c r="AV35" i="5"/>
  <c r="AW35" i="5" s="1"/>
  <c r="W6" i="5"/>
  <c r="W37" i="5" s="1"/>
  <c r="AQ9" i="5"/>
  <c r="AV9" i="5" s="1"/>
  <c r="AW9" i="5" s="1"/>
  <c r="AT8" i="5"/>
  <c r="AU8" i="5" s="1"/>
  <c r="AZ8" i="5" s="1"/>
  <c r="M14" i="5"/>
  <c r="N14" i="5" s="1"/>
  <c r="AQ39" i="5"/>
  <c r="K14" i="5"/>
  <c r="L14" i="5" s="1"/>
  <c r="AT35" i="5"/>
  <c r="AU35" i="5" s="1"/>
  <c r="AZ35" i="5" s="1"/>
  <c r="G36" i="5"/>
  <c r="H36" i="5" s="1"/>
  <c r="I34" i="5"/>
  <c r="J34" i="5" s="1"/>
  <c r="K34" i="5"/>
  <c r="L34" i="5" s="1"/>
  <c r="M34" i="5"/>
  <c r="N34" i="5" s="1"/>
  <c r="G34" i="5"/>
  <c r="H34" i="5" s="1"/>
  <c r="F39" i="5"/>
  <c r="AT5" i="5"/>
  <c r="AU5" i="5" s="1"/>
  <c r="AV5" i="5"/>
  <c r="AW5" i="5" s="1"/>
  <c r="BQ9" i="5"/>
  <c r="X6" i="5"/>
  <c r="Y6" i="5" s="1"/>
  <c r="AB36" i="5"/>
  <c r="AC36" i="5" s="1"/>
  <c r="Z36" i="5"/>
  <c r="AA36" i="5" s="1"/>
  <c r="X36" i="5"/>
  <c r="Y36" i="5" s="1"/>
  <c r="W39" i="5"/>
  <c r="W38" i="5" s="1"/>
  <c r="BK35" i="5"/>
  <c r="BL35" i="5" s="1"/>
  <c r="BM35" i="5"/>
  <c r="BN35" i="5" s="1"/>
  <c r="I35" i="5"/>
  <c r="J35" i="5" s="1"/>
  <c r="K35" i="5"/>
  <c r="L35" i="5" s="1"/>
  <c r="M35" i="5"/>
  <c r="N35" i="5" s="1"/>
  <c r="G35" i="5"/>
  <c r="H35" i="5" s="1"/>
  <c r="BO34" i="5"/>
  <c r="BP34" i="5" s="1"/>
  <c r="BK34" i="5"/>
  <c r="BL34" i="5" s="1"/>
  <c r="BH39" i="5"/>
  <c r="BM34" i="5"/>
  <c r="BN34" i="5" s="1"/>
  <c r="BY20" i="5"/>
  <c r="CE20" i="5" s="1"/>
  <c r="I11" i="5"/>
  <c r="J11" i="5" s="1"/>
  <c r="G11" i="5"/>
  <c r="H11" i="5" s="1"/>
  <c r="K11" i="5"/>
  <c r="L11" i="5" s="1"/>
  <c r="G9" i="5"/>
  <c r="H9" i="5" s="1"/>
  <c r="M9" i="5"/>
  <c r="N9" i="5" s="1"/>
  <c r="K9" i="5"/>
  <c r="L9" i="5" s="1"/>
  <c r="F37" i="5"/>
  <c r="F38" i="5" s="1"/>
  <c r="O36" i="5"/>
  <c r="BI35" i="5"/>
  <c r="BJ35" i="5" s="1"/>
  <c r="BY18" i="5"/>
  <c r="CE18" i="5" s="1"/>
  <c r="I13" i="5"/>
  <c r="J13" i="5" s="1"/>
  <c r="G13" i="5"/>
  <c r="H13" i="5" s="1"/>
  <c r="AT9" i="5"/>
  <c r="AU9" i="5" s="1"/>
  <c r="BQ8" i="5"/>
  <c r="BI6" i="5"/>
  <c r="BJ6" i="5" s="1"/>
  <c r="BO6" i="5"/>
  <c r="BP6" i="5" s="1"/>
  <c r="BM6" i="5"/>
  <c r="BN6" i="5" s="1"/>
  <c r="BK6" i="5"/>
  <c r="BL6" i="5" s="1"/>
  <c r="BH37" i="5"/>
  <c r="BH38" i="5" s="1"/>
  <c r="G5" i="5"/>
  <c r="H5" i="5" s="1"/>
  <c r="K5" i="5"/>
  <c r="L5" i="5" s="1"/>
  <c r="M5" i="5"/>
  <c r="N5" i="5" s="1"/>
  <c r="BZ10" i="5"/>
  <c r="CF10" i="5" s="1"/>
  <c r="CI10" i="5" s="1"/>
  <c r="CJ10" i="5" s="1"/>
  <c r="CE10" i="5"/>
  <c r="BZ7" i="5"/>
  <c r="CF7" i="5" s="1"/>
  <c r="CE7" i="5"/>
  <c r="BZ36" i="5"/>
  <c r="CF36" i="5" s="1"/>
  <c r="CI36" i="5" s="1"/>
  <c r="CJ36" i="5" s="1"/>
  <c r="CE36" i="5"/>
  <c r="CE30" i="5"/>
  <c r="BZ30" i="5"/>
  <c r="CF30" i="5" s="1"/>
  <c r="CI30" i="5" s="1"/>
  <c r="CJ30" i="5" s="1"/>
  <c r="BY19" i="5"/>
  <c r="CE19" i="5" s="1"/>
  <c r="BY15" i="5"/>
  <c r="CE15" i="5" s="1"/>
  <c r="CE12" i="5"/>
  <c r="BZ12" i="5"/>
  <c r="CF12" i="5" s="1"/>
  <c r="CG12" i="5" s="1"/>
  <c r="CH12" i="5" s="1"/>
  <c r="CE35" i="5"/>
  <c r="BZ35" i="5"/>
  <c r="CF35" i="5" s="1"/>
  <c r="CG35" i="5" s="1"/>
  <c r="CH35" i="5" s="1"/>
  <c r="CE34" i="5"/>
  <c r="BZ34" i="5"/>
  <c r="CF34" i="5" s="1"/>
  <c r="CG34" i="5" s="1"/>
  <c r="CH34" i="5" s="1"/>
  <c r="BZ28" i="5"/>
  <c r="CF28" i="5" s="1"/>
  <c r="CK28" i="5" s="1"/>
  <c r="CL28" i="5" s="1"/>
  <c r="CO28" i="5" s="1"/>
  <c r="CE28" i="5"/>
  <c r="BY21" i="5"/>
  <c r="CE21" i="5" s="1"/>
  <c r="BY23" i="5"/>
  <c r="CK10" i="5"/>
  <c r="CL10" i="5" s="1"/>
  <c r="AV6" i="5" l="1"/>
  <c r="AW6" i="5" s="1"/>
  <c r="AT6" i="5"/>
  <c r="AU6" i="5" s="1"/>
  <c r="AR6" i="5"/>
  <c r="AS6" i="5" s="1"/>
  <c r="AZ6" i="5" s="1"/>
  <c r="AX6" i="5"/>
  <c r="AY6" i="5" s="1"/>
  <c r="AQ37" i="5"/>
  <c r="AQ38" i="5" s="1"/>
  <c r="AX7" i="5"/>
  <c r="AY7" i="5" s="1"/>
  <c r="AR7" i="5"/>
  <c r="AS7" i="5" s="1"/>
  <c r="AV7" i="5"/>
  <c r="AW7" i="5" s="1"/>
  <c r="AT7" i="5"/>
  <c r="AU7" i="5" s="1"/>
  <c r="AZ7" i="5" s="1"/>
  <c r="CI35" i="5"/>
  <c r="CJ35" i="5" s="1"/>
  <c r="CG10" i="5"/>
  <c r="CH10" i="5" s="1"/>
  <c r="CO10" i="5" s="1"/>
  <c r="AX5" i="5"/>
  <c r="AY5" i="5" s="1"/>
  <c r="AZ5" i="5" s="1"/>
  <c r="AG5" i="5"/>
  <c r="AG35" i="5"/>
  <c r="CO35" i="5"/>
  <c r="O7" i="5"/>
  <c r="AD6" i="5"/>
  <c r="AE6" i="5" s="1"/>
  <c r="O14" i="5"/>
  <c r="O9" i="5"/>
  <c r="AB6" i="5"/>
  <c r="AC6" i="5" s="1"/>
  <c r="Z6" i="5"/>
  <c r="AA6" i="5" s="1"/>
  <c r="AG6" i="5" s="1"/>
  <c r="O11" i="5"/>
  <c r="CG36" i="5"/>
  <c r="CH36" i="5" s="1"/>
  <c r="CO36" i="5" s="1"/>
  <c r="O5" i="5"/>
  <c r="BZ18" i="5"/>
  <c r="CF18" i="5" s="1"/>
  <c r="CK18" i="5" s="1"/>
  <c r="CL18" i="5" s="1"/>
  <c r="CO18" i="5" s="1"/>
  <c r="BQ34" i="5"/>
  <c r="AZ39" i="5"/>
  <c r="AR9" i="5"/>
  <c r="AS9" i="5" s="1"/>
  <c r="AX9" i="5"/>
  <c r="AY9" i="5" s="1"/>
  <c r="CI12" i="5"/>
  <c r="CJ12" i="5" s="1"/>
  <c r="BZ21" i="5"/>
  <c r="BZ19" i="5"/>
  <c r="CF19" i="5" s="1"/>
  <c r="CK19" i="5" s="1"/>
  <c r="CL19" i="5" s="1"/>
  <c r="CO19" i="5" s="1"/>
  <c r="BQ6" i="5"/>
  <c r="O13" i="5"/>
  <c r="CG30" i="5"/>
  <c r="CH30" i="5" s="1"/>
  <c r="CO30" i="5" s="1"/>
  <c r="CK12" i="5"/>
  <c r="CL12" i="5" s="1"/>
  <c r="BZ20" i="5"/>
  <c r="CF20" i="5" s="1"/>
  <c r="CK20" i="5" s="1"/>
  <c r="CL20" i="5" s="1"/>
  <c r="CO20" i="5" s="1"/>
  <c r="O35" i="5"/>
  <c r="AG36" i="5"/>
  <c r="AG39" i="5" s="1"/>
  <c r="CF39" i="5"/>
  <c r="CX39" i="5" s="1"/>
  <c r="CI34" i="5"/>
  <c r="CJ34" i="5" s="1"/>
  <c r="CO34" i="5" s="1"/>
  <c r="BZ23" i="5"/>
  <c r="CF23" i="5" s="1"/>
  <c r="CG23" i="5" s="1"/>
  <c r="CH23" i="5" s="1"/>
  <c r="CO23" i="5" s="1"/>
  <c r="CE23" i="5"/>
  <c r="BZ15" i="5"/>
  <c r="CF15" i="5" s="1"/>
  <c r="CM15" i="5" s="1"/>
  <c r="CN15" i="5" s="1"/>
  <c r="CO15" i="5" s="1"/>
  <c r="BQ35" i="5"/>
  <c r="O34" i="5"/>
  <c r="AZ9" i="5" l="1"/>
  <c r="AZ37" i="5" s="1"/>
  <c r="AZ38" i="5" s="1"/>
  <c r="CO39" i="5"/>
  <c r="AG37" i="5"/>
  <c r="AG38" i="5" s="1"/>
  <c r="O37" i="5"/>
  <c r="BQ39" i="5"/>
  <c r="O39" i="5"/>
  <c r="BQ37" i="5"/>
  <c r="CF21" i="5"/>
  <c r="CF37" i="5" s="1"/>
  <c r="CX37" i="5" s="1"/>
  <c r="CX38" i="5" s="1"/>
  <c r="CO12" i="5"/>
  <c r="O38" i="5" l="1"/>
  <c r="BQ38" i="5"/>
  <c r="CY39" i="5"/>
  <c r="CF38" i="5"/>
  <c r="CK21" i="5"/>
  <c r="CL21" i="5" s="1"/>
  <c r="CO21" i="5" s="1"/>
  <c r="CO37" i="5" s="1"/>
  <c r="CO38" i="5" l="1"/>
  <c r="CY37" i="5"/>
  <c r="CY38" i="5" s="1"/>
</calcChain>
</file>

<file path=xl/sharedStrings.xml><?xml version="1.0" encoding="utf-8"?>
<sst xmlns="http://schemas.openxmlformats.org/spreadsheetml/2006/main" count="241" uniqueCount="121">
  <si>
    <t>TILA</t>
  </si>
  <si>
    <t>ECOA</t>
  </si>
  <si>
    <t>FCRA</t>
  </si>
  <si>
    <t>Ongoing</t>
  </si>
  <si>
    <t>Total</t>
  </si>
  <si>
    <t>Total Costs</t>
  </si>
  <si>
    <t>Estimated annual frequency</t>
  </si>
  <si>
    <t>Estimated number of respondents</t>
  </si>
  <si>
    <t>New estimated number of respondents</t>
  </si>
  <si>
    <t>Auto dealer carve-out</t>
  </si>
  <si>
    <t>Costs</t>
  </si>
  <si>
    <t>Hours</t>
  </si>
  <si>
    <t>Respondents</t>
  </si>
  <si>
    <t>Chief Executives</t>
  </si>
  <si>
    <t>Legal</t>
  </si>
  <si>
    <t>Financial Manages</t>
  </si>
  <si>
    <t>Office &amp; Admin Support</t>
  </si>
  <si>
    <t>Clerical</t>
  </si>
  <si>
    <t>Skilled Technical</t>
  </si>
  <si>
    <t>Managerial</t>
  </si>
  <si>
    <t>CFPB</t>
  </si>
  <si>
    <t>NCUA</t>
  </si>
  <si>
    <t>FDIC</t>
  </si>
  <si>
    <t>FTC</t>
  </si>
  <si>
    <t>Fed</t>
  </si>
  <si>
    <t>Professional/Technical</t>
  </si>
  <si>
    <t>Managerial/Professional</t>
  </si>
  <si>
    <t>Estimated response time (hours)</t>
  </si>
  <si>
    <t>Estimated annual burden hours</t>
  </si>
  <si>
    <t>OCC</t>
  </si>
  <si>
    <t>This workbook contains justification for the numbers calculated for each regulation's PRA Supporting Statement.</t>
  </si>
  <si>
    <t>Assumptions/Notes</t>
  </si>
  <si>
    <t>Please refer to the Assumptions/Notes section below for general reasoning behind the calculations as well as exceptions to any methods used.</t>
  </si>
  <si>
    <t>PRA Supporting Statement burden and cost calculations</t>
  </si>
  <si>
    <t>Senior Management</t>
  </si>
  <si>
    <t>CFPB carve-out</t>
  </si>
  <si>
    <t>General</t>
  </si>
  <si>
    <t>Cost</t>
  </si>
  <si>
    <t xml:space="preserve"> </t>
  </si>
  <si>
    <t>One-time form changes</t>
  </si>
  <si>
    <t>Compliance Admin/Analyst</t>
  </si>
  <si>
    <t>Management - IT</t>
  </si>
  <si>
    <t>Other</t>
  </si>
  <si>
    <t>CFPB split</t>
  </si>
  <si>
    <t>Non-labor Costs</t>
  </si>
  <si>
    <t>Annual frequency</t>
  </si>
  <si>
    <t>Time (hours)</t>
  </si>
  <si>
    <t>Respondents - OCC</t>
  </si>
  <si>
    <t>Respondents - OTS</t>
  </si>
  <si>
    <t>Total OCC &amp; OTS</t>
  </si>
  <si>
    <t>Frequency</t>
  </si>
  <si>
    <t>No cost to respondents; No cost to gov't</t>
  </si>
  <si>
    <t>Time annualized over 3 years</t>
  </si>
  <si>
    <t>Negative information notice (Section 217)</t>
  </si>
  <si>
    <t>Banks</t>
  </si>
  <si>
    <t>Separate Notice - Ongoing</t>
  </si>
  <si>
    <t>Develop program</t>
  </si>
  <si>
    <t>128 (Free Annual File Disclosures)</t>
  </si>
  <si>
    <t>Affiliate marketing opt-out notice (Section 214)</t>
  </si>
  <si>
    <t>Frivolous or Irrelevant Dispute Notices</t>
  </si>
  <si>
    <t>Consolidated Notice - Ongoing</t>
  </si>
  <si>
    <t>Preparing annual report</t>
  </si>
  <si>
    <t>New annual file disclosure requests - '07</t>
  </si>
  <si>
    <t>Financial Institutions</t>
  </si>
  <si>
    <t>Consolidated, but not perpetual opt out notices</t>
  </si>
  <si>
    <t>Training</t>
  </si>
  <si>
    <t>CRAs have to remove adveritsing until after consumer has obtained requested annual file disclosure -'09</t>
  </si>
  <si>
    <t>Consumer Response</t>
  </si>
  <si>
    <t>Consumer Opt-out - Consolidated notices</t>
  </si>
  <si>
    <t>Developing policies and procedures to assess the validity of changes of addresses</t>
  </si>
  <si>
    <t>Non-GLBA entities under the FACT Act Affiliate Marketing Rule</t>
  </si>
  <si>
    <t>Red flags (Sections 114 and 315)[2]</t>
  </si>
  <si>
    <t>Consumer Opt-out - Not consolidated notices</t>
  </si>
  <si>
    <t>Developing policies and procedures to respond to notices of address discrepancies</t>
  </si>
  <si>
    <r>
      <t>Risk-based pricing (Section 311)</t>
    </r>
    <r>
      <rPr>
        <vertAlign val="superscript"/>
        <sz val="12"/>
        <color indexed="8"/>
        <rFont val="Times New Roman"/>
        <family val="1"/>
      </rPr>
      <t xml:space="preserve"> </t>
    </r>
  </si>
  <si>
    <t>131 (FACT Act Affiliate Marketing Rule )</t>
  </si>
  <si>
    <t>Notice to consumers (on-going)</t>
  </si>
  <si>
    <t>GLBA entities under the FACT Act Affiliate Marketing Rule</t>
  </si>
  <si>
    <t>Furnisher duties (Section 312)</t>
  </si>
  <si>
    <t>Policy &amp; procedures</t>
  </si>
  <si>
    <t>132 (Prescreen Opt-Out Disclosure Rule)</t>
  </si>
  <si>
    <t>H Forms</t>
  </si>
  <si>
    <t>Irrelevant dispute notices</t>
  </si>
  <si>
    <t>Prescreen Opt-Out Disclosure Rule</t>
  </si>
  <si>
    <t>M Form</t>
  </si>
  <si>
    <t>I, K, N Forms</t>
  </si>
  <si>
    <t>144 (Procedures to Enhance the Accuracy and Integrity of Information Furnished to Consumer Reporting Agencies)</t>
  </si>
  <si>
    <t>660.3 rqmt to implement written policies to ensure accurate info, related training - Initial</t>
  </si>
  <si>
    <t>660.3 rqmt to implement written policies to ensure accurate info, related training - Recurring</t>
  </si>
  <si>
    <t>660.4 rqmts to amend procedures to handle complaints directly from cnsumers - Initial</t>
  </si>
  <si>
    <t>660.4 implementation of rqmt to notify consumers that a dispute is frivolous - Initial</t>
  </si>
  <si>
    <t>Time to prepare a sec.660.4 notice of frivolous or irrelevant dispute - Ongoing</t>
  </si>
  <si>
    <t>145 (Fair Credit Reporting Risk-Based Pricing Regulations)</t>
  </si>
  <si>
    <t>Additional one-time burden to implement proposed amendments</t>
  </si>
  <si>
    <t>One-time</t>
  </si>
  <si>
    <t>*Cost estimates for Fed in the SS are stated to be $16 for Office Support and $49 for Financial Managers, although they clearly used $17 and $50 in their analysis</t>
  </si>
  <si>
    <t>Industry before CFPB</t>
  </si>
  <si>
    <t>RESPA</t>
  </si>
  <si>
    <t>Initial cost to implement changes</t>
  </si>
  <si>
    <t>5) The one-time changes in previous agencies' supporting statements were not accounted for in the CFPB's burden acquisition, since presumably the firms have already implemented these changes. The CFPB only assumed each agency's respective portion of ongoing burden.  With respect to the FTC, however, since the FTC annualizes the one-time burden over the three-year clearance of the Supporting Statement, the CFPB did take half of their one-time burden for the one-time changes in the FTC's Supporting Statements.</t>
  </si>
  <si>
    <t>12) The one-time burden changes were estimated to be four hours per form, per firm, as the changes are relatively minor and simple.  This estimate is an extrapolation from previous one-time estimates that the Fed has done.</t>
  </si>
  <si>
    <t>1) CFPB burden is for those depository institutions with over $10 billion in assets and their depository affiliates, as well as half of the FTC's burden net that which is attributed to the FTC for motor vehicle dealers.  Dodd-Frank carves-out a specific section of motor vehicle dealers from the FTC for CFPB regulatory authority, however due to the calculation difficulty of carving out this smaller section, the FTC has attributed all burden attributed to motor vehicle dealers to themselves.</t>
  </si>
  <si>
    <t>2) Whenever an agency did not have a complete burden and cost estimate analysis for any particular regulation, the Fed's burden and cost numbers were used, except for the OTS where the OCC's estimates were used where possible.</t>
  </si>
  <si>
    <t>3) When the original agency's number of respondents for a particular line item was less than the total affected by the regulation, CFPB's affected number of respondents for that line item was calculated using the ratio of that number/total affected * the total number transferring to the CFPB.</t>
  </si>
  <si>
    <t>4) Line items from different agencies' supporting statements were kept as close as possible to their original breakdown, with some assumptions made if breaking them up would still keep the accuracy of the numbers and would fit well with line items from other agencies.</t>
  </si>
  <si>
    <t>CFPB half</t>
  </si>
  <si>
    <t>FTC half + auto-dealers</t>
  </si>
  <si>
    <t>FTC burden (hr)</t>
  </si>
  <si>
    <t>Auto dealer carve-out burden (hr)</t>
  </si>
  <si>
    <t>CFPB estimated total annual burden (hr)</t>
  </si>
  <si>
    <t>Estimated response time (hr)</t>
  </si>
  <si>
    <t>Instutions &gt;$10B</t>
  </si>
  <si>
    <t>Affiliates</t>
  </si>
  <si>
    <t>6) The restatement process caused some forms associated with certain regulations to change, and the one-time burden calculated for these changes reflected in the PRA Supporting Statement is only for those entities for which the CFPB has enforcement authority.  This burden is new burden and was not assumed during the restatement process.</t>
  </si>
  <si>
    <t>7) The one-time costs for firms were estimated using the same cost structure as their previous regulatory agency used for any ongoing burden costs imposed on firms.  The exception is for the FTC, since they used multiple cost structures for different burden items, a standard cost structure was used for them, taken from the estimates used by the FTC for TILA burden costs.</t>
  </si>
  <si>
    <t>8) Estimates for non-labor costs and costs to government were estimated by taking the appropriate portion from the other agencies' supporting statements based on the CFPB's burden assumed from each respective agency who calculated these costs.</t>
  </si>
  <si>
    <t>9) For the one-time burden change: This includes all depository entities with over $10B in assets and all of their depository affiliates and consumer finance related non-depository affiliates, which are those entities which the CFPB has enforcement authority.  For those entities under both the enforcement authority of the CFPB and the FTC, the CFPB and FTC are splitting the burden.</t>
  </si>
  <si>
    <t>10) For the 1022 burden: This includes all institutions changing to the CFPB as described above, in addition to all those entities changing enforcement authorities from the OTS.  For those entities under both the enforcement authority of the CFPB and the FTC, this burden is the full amount created by the changes in forms.</t>
  </si>
  <si>
    <t>11) The one-time burden changes were estimated to be four hours per form, per firm, as the changes are relatively minor and simple.  This estimate is an extrapolation from previous one-time estimates that the Fed has done.</t>
  </si>
  <si>
    <t>13) The one-time burden changes were estimated to be two hours per form, per firm, as the changes are relatively minor and simple, and with a total of eleven forms changing, there should be increased efficiency with making multiple changes of the same thing.  This estimate is an extrapolation from previous one-time estimates that the Fed has done.</t>
  </si>
  <si>
    <t>14) Modified Annual Escrow from 21,110 to 20,100 frequency of responses, so that the responses per annum add up.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</si>
</sst>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84" formatCode="_(* #,##0.0000000_);_(* \(#,##0.0000000\);_(* &quot;-&quot;??_);_(@_)"/>
  </numFmts>
  <fonts count="17" x14ac:knownFonts="1">
    <font>
      <sz val="11"/>
      <color theme="1"/>
      <name val="Calibri"/>
      <family val="2"/>
      <scheme val="minor"/>
    </font>
    <font>
      <vertAlign val="superscript"/>
      <sz val="12"/>
      <color indexed="8"/>
      <name val="Times New Roman"/>
      <family val="1"/>
    </font>
    <font>
      <sz val="11"/>
      <color theme="1"/>
      <name val="Calibri"/>
      <family val="2"/>
      <scheme val="minor"/>
    </font>
    <font>
      <b/>
      <sz val="11"/>
      <color theme="1"/>
      <name val="Calibri"/>
      <family val="2"/>
      <scheme val="minor"/>
    </font>
    <font>
      <sz val="12"/>
      <color theme="1"/>
      <name val="Calibri"/>
      <family val="2"/>
      <scheme val="minor"/>
    </font>
    <font>
      <i/>
      <sz val="12"/>
      <color theme="1"/>
      <name val="Times New Roman"/>
      <family val="1"/>
    </font>
    <font>
      <b/>
      <sz val="14"/>
      <color theme="1"/>
      <name val="Calibri"/>
      <family val="2"/>
      <scheme val="minor"/>
    </font>
    <font>
      <sz val="12"/>
      <color theme="1"/>
      <name val="Times New Roman"/>
      <family val="1"/>
    </font>
    <font>
      <i/>
      <sz val="12"/>
      <color theme="1"/>
      <name val="Calibri"/>
      <family val="2"/>
      <scheme val="minor"/>
    </font>
    <font>
      <i/>
      <sz val="11"/>
      <color theme="1"/>
      <name val="Calibri"/>
      <family val="2"/>
      <scheme val="minor"/>
    </font>
    <font>
      <u/>
      <sz val="11"/>
      <color theme="1"/>
      <name val="Calibri"/>
      <family val="2"/>
      <scheme val="minor"/>
    </font>
    <font>
      <b/>
      <u/>
      <sz val="14"/>
      <color theme="1"/>
      <name val="Calibri"/>
      <family val="2"/>
      <scheme val="minor"/>
    </font>
    <font>
      <i/>
      <u/>
      <sz val="11"/>
      <color theme="1"/>
      <name val="Calibri"/>
      <family val="2"/>
      <scheme val="minor"/>
    </font>
    <font>
      <i/>
      <u/>
      <sz val="12"/>
      <color theme="1"/>
      <name val="Calibri"/>
      <family val="2"/>
      <scheme val="minor"/>
    </font>
    <font>
      <b/>
      <sz val="12"/>
      <color theme="1"/>
      <name val="Times New Roman"/>
      <family val="1"/>
    </font>
    <font>
      <sz val="11"/>
      <color rgb="FF000000"/>
      <name val="Calibri"/>
      <family val="2"/>
      <scheme val="minor"/>
    </font>
    <font>
      <sz val="12"/>
      <color rgb="FFFF0000"/>
      <name val="Times New Roman"/>
      <family val="1"/>
    </font>
  </fonts>
  <fills count="3">
    <fill>
      <patternFill patternType="none"/>
    </fill>
    <fill>
      <patternFill patternType="gray125"/>
    </fill>
    <fill>
      <patternFill patternType="solid">
        <fgColor theme="6" tint="0.39997558519241921"/>
        <bgColor indexed="64"/>
      </patternFill>
    </fill>
  </fills>
  <borders count="24">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34">
    <xf numFmtId="0" fontId="0" fillId="0" borderId="0" xfId="0"/>
    <xf numFmtId="0" fontId="4" fillId="0" borderId="0" xfId="0" applyFont="1" applyBorder="1" applyAlignment="1"/>
    <xf numFmtId="0" fontId="4" fillId="0" borderId="0" xfId="0" applyFont="1" applyFill="1" applyBorder="1" applyAlignment="1"/>
    <xf numFmtId="0" fontId="6" fillId="0" borderId="0" xfId="0" applyFont="1" applyBorder="1" applyAlignment="1"/>
    <xf numFmtId="3" fontId="7" fillId="0" borderId="0" xfId="0"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0" fontId="4" fillId="0" borderId="2" xfId="0" applyFont="1" applyBorder="1" applyAlignment="1">
      <alignment wrapText="1"/>
    </xf>
    <xf numFmtId="0" fontId="7" fillId="0" borderId="1" xfId="0" applyFont="1" applyBorder="1" applyAlignment="1">
      <alignment horizontal="right" vertical="center" wrapText="1"/>
    </xf>
    <xf numFmtId="0" fontId="5" fillId="0" borderId="0" xfId="0" applyFont="1" applyBorder="1" applyAlignment="1">
      <alignment wrapText="1"/>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Border="1"/>
    <xf numFmtId="0" fontId="3" fillId="0" borderId="0" xfId="0" applyFont="1" applyBorder="1"/>
    <xf numFmtId="0" fontId="9" fillId="0" borderId="0" xfId="0" applyFont="1" applyBorder="1" applyAlignment="1">
      <alignment horizontal="center" vertical="center"/>
    </xf>
    <xf numFmtId="0" fontId="8" fillId="0" borderId="2" xfId="0" applyFont="1" applyBorder="1" applyAlignment="1">
      <alignment horizontal="left"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Border="1" applyAlignment="1">
      <alignment horizontal="right"/>
    </xf>
    <xf numFmtId="164" fontId="2" fillId="0" borderId="0" xfId="1" applyNumberFormat="1" applyFont="1" applyBorder="1" applyAlignment="1">
      <alignment horizontal="right"/>
    </xf>
    <xf numFmtId="165" fontId="2" fillId="0" borderId="0" xfId="2" applyNumberFormat="1" applyFont="1" applyBorder="1" applyAlignment="1">
      <alignment horizontal="right"/>
    </xf>
    <xf numFmtId="3" fontId="7" fillId="0" borderId="11" xfId="0" applyNumberFormat="1" applyFont="1" applyBorder="1" applyAlignment="1">
      <alignment horizontal="right" vertical="center" wrapText="1"/>
    </xf>
    <xf numFmtId="0" fontId="7" fillId="0" borderId="11" xfId="0" applyFont="1" applyBorder="1" applyAlignment="1">
      <alignment horizontal="right" vertical="center" wrapText="1"/>
    </xf>
    <xf numFmtId="3" fontId="7" fillId="0" borderId="12" xfId="0" applyNumberFormat="1" applyFont="1" applyBorder="1" applyAlignment="1">
      <alignment horizontal="right" vertical="center" wrapText="1"/>
    </xf>
    <xf numFmtId="0" fontId="7" fillId="0" borderId="13" xfId="0" applyFont="1" applyBorder="1" applyAlignment="1">
      <alignment horizontal="right" vertical="center" wrapText="1"/>
    </xf>
    <xf numFmtId="165" fontId="2" fillId="0" borderId="0" xfId="2" applyNumberFormat="1" applyFont="1" applyBorder="1"/>
    <xf numFmtId="164" fontId="0" fillId="0" borderId="0" xfId="0" applyNumberFormat="1" applyBorder="1"/>
    <xf numFmtId="0" fontId="0" fillId="0" borderId="13" xfId="0" applyBorder="1" applyAlignment="1">
      <alignment horizontal="right"/>
    </xf>
    <xf numFmtId="165" fontId="2" fillId="0" borderId="14" xfId="2" applyNumberFormat="1" applyFont="1" applyBorder="1" applyAlignment="1">
      <alignment horizontal="right"/>
    </xf>
    <xf numFmtId="0" fontId="0" fillId="0" borderId="0" xfId="0" applyBorder="1" applyAlignment="1">
      <alignment horizontal="left" vertical="center"/>
    </xf>
    <xf numFmtId="3" fontId="0" fillId="0" borderId="0" xfId="0" applyNumberFormat="1" applyBorder="1"/>
    <xf numFmtId="0" fontId="10" fillId="0" borderId="0" xfId="0" applyFont="1"/>
    <xf numFmtId="0" fontId="11" fillId="0" borderId="0" xfId="0" applyFont="1"/>
    <xf numFmtId="0" fontId="6" fillId="0" borderId="0" xfId="0" applyFont="1"/>
    <xf numFmtId="0" fontId="3" fillId="0" borderId="0" xfId="0" applyFont="1"/>
    <xf numFmtId="3" fontId="7" fillId="0" borderId="0" xfId="0" applyNumberFormat="1" applyFont="1" applyAlignment="1">
      <alignment horizontal="right" vertical="center" wrapText="1"/>
    </xf>
    <xf numFmtId="0" fontId="7" fillId="0" borderId="0" xfId="0" applyFont="1" applyAlignment="1">
      <alignment horizontal="right" vertical="center" wrapText="1"/>
    </xf>
    <xf numFmtId="164" fontId="0" fillId="0" borderId="1" xfId="0" applyNumberFormat="1" applyBorder="1"/>
    <xf numFmtId="164" fontId="2" fillId="0" borderId="0" xfId="1" applyNumberFormat="1" applyFont="1"/>
    <xf numFmtId="164" fontId="2" fillId="0" borderId="1" xfId="1" applyNumberFormat="1" applyFont="1" applyBorder="1"/>
    <xf numFmtId="0" fontId="0" fillId="0" borderId="0" xfId="0" applyFont="1"/>
    <xf numFmtId="0" fontId="9" fillId="0" borderId="0" xfId="0" applyFont="1"/>
    <xf numFmtId="0" fontId="12" fillId="0" borderId="0" xfId="0" applyFont="1"/>
    <xf numFmtId="0" fontId="13" fillId="0" borderId="0" xfId="0" applyFont="1" applyFill="1" applyBorder="1" applyAlignment="1"/>
    <xf numFmtId="0" fontId="0" fillId="0" borderId="0" xfId="0" applyBorder="1" applyAlignment="1"/>
    <xf numFmtId="0" fontId="0" fillId="0" borderId="1" xfId="0" applyBorder="1"/>
    <xf numFmtId="0" fontId="0" fillId="0" borderId="1" xfId="0" applyBorder="1" applyAlignment="1"/>
    <xf numFmtId="0" fontId="0" fillId="0" borderId="2" xfId="0" applyBorder="1"/>
    <xf numFmtId="0" fontId="0" fillId="0" borderId="0" xfId="0" applyBorder="1" applyAlignment="1">
      <alignment wrapText="1"/>
    </xf>
    <xf numFmtId="0" fontId="0" fillId="0" borderId="0" xfId="0" applyAlignment="1">
      <alignment wrapText="1"/>
    </xf>
    <xf numFmtId="0" fontId="0" fillId="0" borderId="1" xfId="0" applyBorder="1" applyAlignment="1">
      <alignment wrapText="1"/>
    </xf>
    <xf numFmtId="9" fontId="0" fillId="0" borderId="1" xfId="0" applyNumberFormat="1" applyBorder="1" applyAlignment="1"/>
    <xf numFmtId="6" fontId="5" fillId="0" borderId="0" xfId="0" applyNumberFormat="1" applyFont="1" applyBorder="1" applyAlignment="1">
      <alignment wrapText="1"/>
    </xf>
    <xf numFmtId="9" fontId="0" fillId="0" borderId="0" xfId="0" applyNumberFormat="1" applyBorder="1" applyAlignment="1"/>
    <xf numFmtId="0" fontId="5" fillId="0" borderId="1" xfId="0" applyFont="1" applyBorder="1" applyAlignment="1">
      <alignment wrapText="1"/>
    </xf>
    <xf numFmtId="9" fontId="0" fillId="0" borderId="0" xfId="0" applyNumberFormat="1" applyAlignment="1"/>
    <xf numFmtId="43" fontId="2" fillId="0" borderId="0" xfId="1" applyNumberFormat="1" applyFont="1"/>
    <xf numFmtId="43" fontId="0" fillId="0" borderId="1" xfId="0" applyNumberFormat="1" applyBorder="1"/>
    <xf numFmtId="164" fontId="0" fillId="0" borderId="0" xfId="0" applyNumberFormat="1"/>
    <xf numFmtId="165" fontId="2" fillId="0" borderId="0" xfId="2" applyNumberFormat="1" applyFont="1"/>
    <xf numFmtId="165" fontId="0" fillId="0" borderId="1" xfId="0" applyNumberFormat="1" applyBorder="1"/>
    <xf numFmtId="166" fontId="0" fillId="0" borderId="0" xfId="0" applyNumberFormat="1"/>
    <xf numFmtId="164" fontId="2" fillId="0" borderId="1" xfId="1" applyNumberFormat="1" applyFont="1" applyBorder="1" applyAlignment="1">
      <alignment horizontal="right"/>
    </xf>
    <xf numFmtId="0" fontId="0" fillId="0" borderId="7" xfId="0" applyBorder="1"/>
    <xf numFmtId="164" fontId="2" fillId="0" borderId="11" xfId="1" applyNumberFormat="1" applyFont="1" applyBorder="1"/>
    <xf numFmtId="164" fontId="0" fillId="0" borderId="12" xfId="0" applyNumberFormat="1" applyBorder="1"/>
    <xf numFmtId="165" fontId="2" fillId="0" borderId="11" xfId="2" applyNumberFormat="1" applyFont="1" applyBorder="1"/>
    <xf numFmtId="164" fontId="0" fillId="0" borderId="11" xfId="0" applyNumberFormat="1" applyBorder="1"/>
    <xf numFmtId="165" fontId="0" fillId="0" borderId="12" xfId="0" applyNumberFormat="1" applyBorder="1"/>
    <xf numFmtId="0" fontId="0" fillId="0" borderId="11" xfId="0" applyBorder="1"/>
    <xf numFmtId="0" fontId="5" fillId="0" borderId="11" xfId="0" applyFont="1" applyBorder="1" applyAlignment="1">
      <alignment horizontal="center" vertical="center" wrapText="1"/>
    </xf>
    <xf numFmtId="0" fontId="0" fillId="0" borderId="13" xfId="0" applyBorder="1"/>
    <xf numFmtId="0" fontId="0" fillId="0" borderId="14" xfId="0" applyBorder="1"/>
    <xf numFmtId="164" fontId="0" fillId="0" borderId="13" xfId="0" applyNumberFormat="1" applyBorder="1"/>
    <xf numFmtId="0" fontId="0" fillId="0" borderId="18" xfId="0" applyBorder="1"/>
    <xf numFmtId="0" fontId="0" fillId="0" borderId="18" xfId="0" applyBorder="1" applyAlignment="1">
      <alignment horizontal="right"/>
    </xf>
    <xf numFmtId="165" fontId="0" fillId="0" borderId="0" xfId="0" applyNumberFormat="1"/>
    <xf numFmtId="0" fontId="3" fillId="0" borderId="1" xfId="0" applyFont="1" applyBorder="1"/>
    <xf numFmtId="0" fontId="3" fillId="0" borderId="2" xfId="0" applyFont="1" applyBorder="1"/>
    <xf numFmtId="0" fontId="0" fillId="0" borderId="0" xfId="0" applyAlignment="1">
      <alignment horizontal="center"/>
    </xf>
    <xf numFmtId="0" fontId="5" fillId="0" borderId="0" xfId="0" applyFont="1" applyFill="1" applyBorder="1" applyAlignment="1">
      <alignment horizontal="center" vertical="center" wrapText="1"/>
    </xf>
    <xf numFmtId="0" fontId="5" fillId="0" borderId="9" xfId="0" applyFont="1" applyBorder="1" applyAlignment="1">
      <alignment horizontal="center" vertical="center" wrapText="1"/>
    </xf>
    <xf numFmtId="9" fontId="0" fillId="0" borderId="0" xfId="0" applyNumberFormat="1" applyBorder="1"/>
    <xf numFmtId="6" fontId="0" fillId="0" borderId="0" xfId="0" applyNumberFormat="1" applyBorder="1"/>
    <xf numFmtId="9" fontId="0" fillId="0" borderId="0" xfId="0" applyNumberFormat="1"/>
    <xf numFmtId="6" fontId="0" fillId="0" borderId="0" xfId="0" applyNumberFormat="1"/>
    <xf numFmtId="0" fontId="5" fillId="0" borderId="1" xfId="0" applyFont="1" applyFill="1" applyBorder="1" applyAlignment="1">
      <alignment horizontal="center" vertical="center" wrapText="1"/>
    </xf>
    <xf numFmtId="9" fontId="0" fillId="0" borderId="1" xfId="0" applyNumberFormat="1" applyBorder="1"/>
    <xf numFmtId="8" fontId="0" fillId="0" borderId="0" xfId="0" applyNumberFormat="1" applyBorder="1"/>
    <xf numFmtId="8" fontId="0" fillId="0" borderId="0" xfId="0" applyNumberFormat="1"/>
    <xf numFmtId="0" fontId="7" fillId="0" borderId="2" xfId="0" applyFont="1" applyBorder="1" applyAlignment="1">
      <alignment horizontal="left" vertical="center" wrapText="1"/>
    </xf>
    <xf numFmtId="6" fontId="0" fillId="0" borderId="0" xfId="0" applyNumberFormat="1" applyAlignment="1">
      <alignment horizontal="right" vertical="center"/>
    </xf>
    <xf numFmtId="6" fontId="0" fillId="0" borderId="1" xfId="0" applyNumberFormat="1" applyBorder="1" applyAlignment="1">
      <alignment horizontal="right" vertical="center"/>
    </xf>
    <xf numFmtId="0" fontId="0" fillId="0" borderId="2" xfId="0" applyBorder="1" applyAlignment="1">
      <alignment vertical="center" wrapText="1"/>
    </xf>
    <xf numFmtId="165" fontId="0" fillId="0" borderId="0" xfId="0" applyNumberFormat="1" applyBorder="1"/>
    <xf numFmtId="0" fontId="0" fillId="0" borderId="0" xfId="0" applyBorder="1" applyAlignment="1">
      <alignment horizontal="left" vertical="center" wrapText="1"/>
    </xf>
    <xf numFmtId="1" fontId="0" fillId="0" borderId="1" xfId="0" applyNumberFormat="1" applyBorder="1"/>
    <xf numFmtId="1" fontId="0" fillId="0" borderId="0" xfId="0" applyNumberFormat="1"/>
    <xf numFmtId="6" fontId="0" fillId="0" borderId="1" xfId="0" applyNumberFormat="1" applyBorder="1"/>
    <xf numFmtId="0" fontId="0" fillId="0" borderId="2" xfId="0" applyBorder="1" applyAlignment="1">
      <alignment wrapText="1"/>
    </xf>
    <xf numFmtId="0" fontId="0" fillId="0" borderId="2" xfId="0" applyFont="1" applyBorder="1"/>
    <xf numFmtId="0" fontId="14" fillId="0" borderId="2" xfId="0" applyFont="1" applyBorder="1" applyAlignment="1">
      <alignment horizontal="left" vertical="center" wrapText="1"/>
    </xf>
    <xf numFmtId="2" fontId="0" fillId="0" borderId="0" xfId="0" applyNumberFormat="1"/>
    <xf numFmtId="0" fontId="0" fillId="0" borderId="2" xfId="0" applyFont="1" applyBorder="1" applyAlignment="1">
      <alignment wrapText="1"/>
    </xf>
    <xf numFmtId="164" fontId="7" fillId="0" borderId="0" xfId="1" applyNumberFormat="1" applyFont="1" applyFill="1" applyBorder="1" applyAlignment="1">
      <alignment horizontal="right"/>
    </xf>
    <xf numFmtId="164" fontId="7" fillId="0" borderId="0" xfId="1" applyNumberFormat="1" applyFont="1" applyBorder="1" applyAlignment="1">
      <alignment horizontal="right"/>
    </xf>
    <xf numFmtId="164" fontId="2" fillId="0" borderId="0" xfId="1" applyNumberFormat="1" applyFont="1" applyAlignment="1">
      <alignment horizontal="right"/>
    </xf>
    <xf numFmtId="165" fontId="2" fillId="0" borderId="0" xfId="2" applyNumberFormat="1" applyFont="1" applyAlignment="1">
      <alignment horizontal="right"/>
    </xf>
    <xf numFmtId="0" fontId="0" fillId="0" borderId="2" xfId="0" applyBorder="1" applyAlignment="1">
      <alignment vertical="center"/>
    </xf>
    <xf numFmtId="166" fontId="7" fillId="0" borderId="0" xfId="0" applyNumberFormat="1" applyFont="1" applyAlignment="1">
      <alignment horizontal="right" vertical="center" wrapText="1"/>
    </xf>
    <xf numFmtId="0" fontId="15" fillId="0" borderId="2" xfId="0" applyFont="1" applyBorder="1" applyAlignment="1">
      <alignment wrapText="1"/>
    </xf>
    <xf numFmtId="165" fontId="0" fillId="0" borderId="7" xfId="0" applyNumberFormat="1" applyBorder="1"/>
    <xf numFmtId="0" fontId="0" fillId="0" borderId="2" xfId="0" applyBorder="1" applyAlignment="1">
      <alignment horizontal="left" vertical="center" wrapText="1"/>
    </xf>
    <xf numFmtId="3" fontId="0" fillId="0" borderId="1" xfId="0" applyNumberFormat="1" applyBorder="1"/>
    <xf numFmtId="9" fontId="2" fillId="0" borderId="1" xfId="3" applyFont="1" applyBorder="1"/>
    <xf numFmtId="9" fontId="2" fillId="0" borderId="0" xfId="3" applyFont="1"/>
    <xf numFmtId="43" fontId="2" fillId="0" borderId="1" xfId="1" applyNumberFormat="1" applyFont="1" applyBorder="1"/>
    <xf numFmtId="2" fontId="7" fillId="0" borderId="0" xfId="0" applyNumberFormat="1" applyFont="1" applyAlignment="1">
      <alignment horizontal="right" vertical="center" wrapText="1"/>
    </xf>
    <xf numFmtId="0" fontId="0" fillId="0" borderId="0" xfId="0" quotePrefix="1" applyAlignment="1">
      <alignment horizontal="center"/>
    </xf>
    <xf numFmtId="43" fontId="0" fillId="0" borderId="0" xfId="0" applyNumberFormat="1"/>
    <xf numFmtId="44" fontId="2" fillId="0" borderId="0" xfId="2" applyFont="1"/>
    <xf numFmtId="44" fontId="2" fillId="0" borderId="0" xfId="2" applyNumberFormat="1" applyFont="1"/>
    <xf numFmtId="44" fontId="0" fillId="0" borderId="0" xfId="0" applyNumberFormat="1"/>
    <xf numFmtId="0" fontId="4" fillId="0" borderId="2" xfId="0" applyFont="1" applyBorder="1" applyAlignment="1">
      <alignment horizontal="left" vertical="center" wrapText="1"/>
    </xf>
    <xf numFmtId="0" fontId="0" fillId="0" borderId="0" xfId="0" applyAlignment="1">
      <alignment horizontal="right" vertical="center"/>
    </xf>
    <xf numFmtId="0" fontId="0" fillId="0" borderId="1" xfId="0" applyBorder="1" applyAlignment="1">
      <alignment horizontal="right" vertical="center"/>
    </xf>
    <xf numFmtId="0" fontId="4" fillId="0" borderId="0" xfId="0" applyFont="1" applyAlignment="1">
      <alignment horizontal="left" vertical="center" wrapText="1"/>
    </xf>
    <xf numFmtId="3" fontId="0" fillId="0" borderId="0" xfId="0" applyNumberFormat="1"/>
    <xf numFmtId="0" fontId="0" fillId="0" borderId="10" xfId="0" applyBorder="1" applyAlignment="1">
      <alignment horizontal="left" vertical="center" wrapText="1"/>
    </xf>
    <xf numFmtId="1" fontId="7" fillId="0" borderId="11" xfId="0" applyNumberFormat="1" applyFont="1" applyBorder="1" applyAlignment="1">
      <alignment horizontal="right" vertical="center" wrapText="1"/>
    </xf>
    <xf numFmtId="6" fontId="0" fillId="0" borderId="11" xfId="0" applyNumberFormat="1" applyBorder="1" applyAlignment="1">
      <alignment horizontal="right" vertical="center"/>
    </xf>
    <xf numFmtId="6" fontId="0" fillId="0" borderId="12" xfId="0" applyNumberFormat="1" applyBorder="1" applyAlignment="1">
      <alignment horizontal="right" vertical="center"/>
    </xf>
    <xf numFmtId="0" fontId="0" fillId="0" borderId="10" xfId="0" applyBorder="1" applyAlignment="1">
      <alignment vertical="center"/>
    </xf>
    <xf numFmtId="0" fontId="0" fillId="0" borderId="11" xfId="0" applyBorder="1" applyAlignment="1">
      <alignment horizontal="left" vertical="center"/>
    </xf>
    <xf numFmtId="3" fontId="0" fillId="0" borderId="12" xfId="0" applyNumberFormat="1" applyBorder="1"/>
    <xf numFmtId="3" fontId="0" fillId="0" borderId="11" xfId="0" applyNumberFormat="1" applyBorder="1"/>
    <xf numFmtId="1" fontId="0" fillId="0" borderId="11" xfId="0" applyNumberFormat="1" applyBorder="1"/>
    <xf numFmtId="1" fontId="0" fillId="0" borderId="12" xfId="0" applyNumberFormat="1" applyBorder="1"/>
    <xf numFmtId="6" fontId="0" fillId="0" borderId="11" xfId="0" applyNumberFormat="1" applyBorder="1"/>
    <xf numFmtId="6" fontId="0" fillId="0" borderId="12" xfId="0" applyNumberFormat="1" applyBorder="1"/>
    <xf numFmtId="0" fontId="0" fillId="0" borderId="10" xfId="0" applyBorder="1"/>
    <xf numFmtId="0" fontId="0" fillId="0" borderId="10" xfId="0" applyFont="1" applyBorder="1" applyAlignment="1">
      <alignment wrapText="1"/>
    </xf>
    <xf numFmtId="165" fontId="0" fillId="0" borderId="20" xfId="0" applyNumberFormat="1" applyBorder="1"/>
    <xf numFmtId="0" fontId="7" fillId="0" borderId="17" xfId="0" applyFont="1" applyBorder="1" applyAlignment="1">
      <alignment horizontal="left" vertical="center" wrapText="1"/>
    </xf>
    <xf numFmtId="0" fontId="0" fillId="0" borderId="13" xfId="0" applyBorder="1" applyAlignment="1">
      <alignment horizontal="right" vertical="center"/>
    </xf>
    <xf numFmtId="6" fontId="0" fillId="0" borderId="14" xfId="0" applyNumberFormat="1" applyBorder="1" applyAlignment="1">
      <alignment horizontal="right" vertical="center"/>
    </xf>
    <xf numFmtId="0" fontId="0" fillId="0" borderId="17" xfId="0" applyFont="1" applyBorder="1"/>
    <xf numFmtId="165" fontId="0" fillId="0" borderId="14" xfId="0" applyNumberFormat="1" applyBorder="1"/>
    <xf numFmtId="0" fontId="0" fillId="0" borderId="17" xfId="0" applyBorder="1" applyAlignment="1">
      <alignment horizontal="left" vertical="center" wrapText="1"/>
    </xf>
    <xf numFmtId="6" fontId="0" fillId="0" borderId="14" xfId="0" applyNumberFormat="1" applyBorder="1"/>
    <xf numFmtId="0" fontId="0" fillId="0" borderId="17" xfId="0" applyFill="1" applyBorder="1" applyAlignment="1">
      <alignment wrapText="1"/>
    </xf>
    <xf numFmtId="0" fontId="0" fillId="0" borderId="17" xfId="0" applyFont="1" applyBorder="1" applyAlignment="1">
      <alignment wrapText="1"/>
    </xf>
    <xf numFmtId="165" fontId="0" fillId="0" borderId="13" xfId="0" applyNumberFormat="1" applyBorder="1"/>
    <xf numFmtId="165" fontId="2" fillId="0" borderId="6" xfId="2" applyNumberFormat="1" applyFont="1" applyBorder="1" applyAlignment="1">
      <alignment horizontal="right"/>
    </xf>
    <xf numFmtId="0" fontId="7" fillId="0" borderId="19" xfId="0" applyFont="1" applyBorder="1" applyAlignment="1">
      <alignment horizontal="left" vertical="center" wrapText="1"/>
    </xf>
    <xf numFmtId="0" fontId="7" fillId="0" borderId="18" xfId="0" applyFont="1" applyBorder="1" applyAlignment="1">
      <alignment horizontal="right" vertical="center" wrapText="1"/>
    </xf>
    <xf numFmtId="0" fontId="0" fillId="0" borderId="18" xfId="0" applyBorder="1" applyAlignment="1">
      <alignment horizontal="right" vertical="center"/>
    </xf>
    <xf numFmtId="0" fontId="0" fillId="0" borderId="19" xfId="0" applyFont="1" applyBorder="1"/>
    <xf numFmtId="0" fontId="0" fillId="0" borderId="19" xfId="0" applyBorder="1" applyAlignment="1">
      <alignment horizontal="left" vertical="center" wrapText="1"/>
    </xf>
    <xf numFmtId="1" fontId="0" fillId="0" borderId="19" xfId="0" applyNumberFormat="1" applyBorder="1"/>
    <xf numFmtId="6" fontId="0" fillId="0" borderId="18" xfId="0" applyNumberFormat="1" applyBorder="1"/>
    <xf numFmtId="0" fontId="0" fillId="0" borderId="19" xfId="0" applyFill="1" applyBorder="1" applyAlignment="1">
      <alignment wrapText="1"/>
    </xf>
    <xf numFmtId="0" fontId="0" fillId="0" borderId="19" xfId="0" applyFont="1" applyBorder="1" applyAlignment="1">
      <alignment wrapText="1"/>
    </xf>
    <xf numFmtId="0" fontId="8" fillId="0" borderId="0" xfId="0" applyFont="1" applyBorder="1" applyAlignment="1">
      <alignment wrapText="1"/>
    </xf>
    <xf numFmtId="0" fontId="5" fillId="0" borderId="2" xfId="0" applyFont="1" applyBorder="1" applyAlignment="1">
      <alignment horizontal="center" vertical="center" wrapText="1"/>
    </xf>
    <xf numFmtId="164" fontId="2" fillId="0" borderId="2" xfId="1" applyNumberFormat="1" applyFont="1" applyBorder="1" applyAlignment="1">
      <alignment horizontal="right"/>
    </xf>
    <xf numFmtId="165" fontId="0" fillId="0" borderId="18" xfId="0" applyNumberFormat="1" applyBorder="1"/>
    <xf numFmtId="0" fontId="7" fillId="0" borderId="2" xfId="0" applyFont="1" applyBorder="1" applyAlignment="1">
      <alignment horizontal="center" vertical="center" wrapText="1"/>
    </xf>
    <xf numFmtId="0" fontId="0" fillId="0" borderId="7" xfId="0" applyBorder="1" applyAlignment="1"/>
    <xf numFmtId="0" fontId="5" fillId="0" borderId="7" xfId="0" applyFont="1" applyBorder="1" applyAlignment="1">
      <alignment wrapText="1"/>
    </xf>
    <xf numFmtId="165" fontId="0" fillId="0" borderId="22" xfId="0" applyNumberFormat="1" applyBorder="1"/>
    <xf numFmtId="165" fontId="2" fillId="0" borderId="0" xfId="2" applyNumberFormat="1" applyFont="1"/>
    <xf numFmtId="164" fontId="0" fillId="0" borderId="19" xfId="0" applyNumberFormat="1" applyBorder="1"/>
    <xf numFmtId="0" fontId="0" fillId="0" borderId="0" xfId="0" applyFont="1" applyBorder="1" applyAlignment="1">
      <alignment horizontal="left" vertical="center"/>
    </xf>
    <xf numFmtId="9" fontId="2" fillId="0" borderId="0" xfId="3" applyFont="1"/>
    <xf numFmtId="9" fontId="2" fillId="0" borderId="1" xfId="3" applyFont="1" applyBorder="1"/>
    <xf numFmtId="44" fontId="2" fillId="0" borderId="0" xfId="2" applyNumberFormat="1" applyFont="1"/>
    <xf numFmtId="164" fontId="2" fillId="0" borderId="19" xfId="1" applyNumberFormat="1" applyFont="1" applyBorder="1" applyAlignment="1">
      <alignment horizontal="right"/>
    </xf>
    <xf numFmtId="164" fontId="2" fillId="0" borderId="0" xfId="1" applyNumberFormat="1" applyFont="1"/>
    <xf numFmtId="0" fontId="5" fillId="0" borderId="0" xfId="0" applyFont="1" applyBorder="1" applyAlignment="1">
      <alignment horizontal="center" vertical="center" wrapText="1"/>
    </xf>
    <xf numFmtId="0" fontId="5" fillId="0" borderId="1" xfId="0" applyFont="1" applyBorder="1" applyAlignment="1">
      <alignment horizontal="center" wrapText="1"/>
    </xf>
    <xf numFmtId="0" fontId="5" fillId="0" borderId="0" xfId="0" applyFont="1" applyBorder="1" applyAlignment="1">
      <alignment horizontal="center" wrapText="1"/>
    </xf>
    <xf numFmtId="0" fontId="0" fillId="0" borderId="0"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184" fontId="7" fillId="0" borderId="0" xfId="1" applyNumberFormat="1" applyFont="1" applyFill="1" applyBorder="1" applyAlignment="1">
      <alignment horizontal="right"/>
    </xf>
    <xf numFmtId="164" fontId="0" fillId="0" borderId="0" xfId="1" applyNumberFormat="1" applyFont="1"/>
    <xf numFmtId="165" fontId="7" fillId="0" borderId="7" xfId="2" applyNumberFormat="1" applyFont="1" applyBorder="1" applyAlignment="1">
      <alignment horizontal="right"/>
    </xf>
    <xf numFmtId="165" fontId="0" fillId="0" borderId="23" xfId="0" applyNumberFormat="1" applyBorder="1"/>
    <xf numFmtId="0" fontId="0" fillId="0" borderId="0" xfId="0" applyBorder="1" applyAlignment="1">
      <alignment horizontal="right" vertical="center"/>
    </xf>
    <xf numFmtId="6" fontId="0" fillId="0" borderId="0" xfId="0" applyNumberFormat="1" applyBorder="1" applyAlignment="1">
      <alignment horizontal="right" vertical="center"/>
    </xf>
    <xf numFmtId="0" fontId="7" fillId="0" borderId="8" xfId="0" applyFont="1" applyBorder="1" applyAlignment="1">
      <alignment horizontal="right" vertical="center" wrapText="1"/>
    </xf>
    <xf numFmtId="3" fontId="14" fillId="0" borderId="8" xfId="0" applyNumberFormat="1" applyFont="1" applyBorder="1" applyAlignment="1">
      <alignment horizontal="right" vertical="center" wrapText="1"/>
    </xf>
    <xf numFmtId="0" fontId="0" fillId="0" borderId="8" xfId="0" applyBorder="1" applyAlignment="1">
      <alignment horizontal="right" vertical="center"/>
    </xf>
    <xf numFmtId="6" fontId="0" fillId="0" borderId="8" xfId="0" applyNumberFormat="1" applyBorder="1" applyAlignment="1">
      <alignment horizontal="right" vertical="center"/>
    </xf>
    <xf numFmtId="0" fontId="0" fillId="0" borderId="8" xfId="0" applyBorder="1"/>
    <xf numFmtId="165" fontId="0" fillId="0" borderId="8" xfId="0" applyNumberFormat="1" applyBorder="1"/>
    <xf numFmtId="6" fontId="0" fillId="0" borderId="8" xfId="0" applyNumberFormat="1" applyBorder="1"/>
    <xf numFmtId="0" fontId="0" fillId="0" borderId="8" xfId="0" applyBorder="1" applyAlignment="1">
      <alignment horizontal="right"/>
    </xf>
    <xf numFmtId="165" fontId="0" fillId="0" borderId="8" xfId="0" applyNumberFormat="1" applyBorder="1" applyAlignment="1">
      <alignment horizontal="right"/>
    </xf>
    <xf numFmtId="3" fontId="14" fillId="0" borderId="18" xfId="0" applyNumberFormat="1" applyFont="1" applyBorder="1" applyAlignment="1">
      <alignment horizontal="right" vertical="center" wrapText="1"/>
    </xf>
    <xf numFmtId="6" fontId="0" fillId="0" borderId="18" xfId="0" applyNumberFormat="1" applyBorder="1" applyAlignment="1">
      <alignment horizontal="right" vertical="center"/>
    </xf>
    <xf numFmtId="165" fontId="2" fillId="0" borderId="18" xfId="2" applyNumberFormat="1" applyFont="1" applyBorder="1" applyAlignment="1">
      <alignment horizontal="right"/>
    </xf>
    <xf numFmtId="165" fontId="0" fillId="0" borderId="16" xfId="0" applyNumberFormat="1" applyBorder="1"/>
    <xf numFmtId="164" fontId="0" fillId="0" borderId="15" xfId="0" applyNumberFormat="1" applyBorder="1"/>
    <xf numFmtId="0" fontId="16" fillId="0" borderId="0" xfId="0" applyFont="1" applyAlignment="1">
      <alignment horizontal="right" vertical="center" wrapText="1"/>
    </xf>
    <xf numFmtId="3" fontId="7" fillId="0" borderId="2" xfId="0" applyNumberFormat="1" applyFont="1" applyBorder="1" applyAlignment="1">
      <alignment horizontal="right" vertical="center" wrapText="1"/>
    </xf>
    <xf numFmtId="3" fontId="14" fillId="0" borderId="13" xfId="0" applyNumberFormat="1" applyFont="1" applyBorder="1" applyAlignment="1">
      <alignment horizontal="right" vertical="center" wrapText="1"/>
    </xf>
    <xf numFmtId="3" fontId="7" fillId="0" borderId="17" xfId="0" applyNumberFormat="1" applyFont="1" applyBorder="1" applyAlignment="1">
      <alignment horizontal="right" vertical="center" wrapText="1"/>
    </xf>
    <xf numFmtId="3" fontId="7" fillId="0" borderId="15" xfId="0" applyNumberFormat="1" applyFont="1" applyBorder="1" applyAlignment="1">
      <alignment horizontal="right" vertical="center" wrapText="1"/>
    </xf>
    <xf numFmtId="3" fontId="7" fillId="0" borderId="19" xfId="0" applyNumberFormat="1" applyFont="1" applyBorder="1" applyAlignment="1">
      <alignment horizontal="right" vertical="center" wrapText="1"/>
    </xf>
    <xf numFmtId="0" fontId="7" fillId="0" borderId="15" xfId="0" applyFont="1" applyBorder="1" applyAlignment="1">
      <alignment horizontal="left" vertical="center" wrapText="1"/>
    </xf>
    <xf numFmtId="0" fontId="0" fillId="0" borderId="15" xfId="0" applyFont="1" applyBorder="1"/>
    <xf numFmtId="164" fontId="0" fillId="0" borderId="17" xfId="0" applyNumberFormat="1" applyBorder="1"/>
    <xf numFmtId="0" fontId="0" fillId="0" borderId="15" xfId="0" applyBorder="1" applyAlignment="1">
      <alignment horizontal="left" vertical="center" wrapText="1"/>
    </xf>
    <xf numFmtId="164" fontId="2" fillId="0" borderId="17" xfId="1" applyNumberFormat="1" applyFont="1" applyFill="1" applyBorder="1"/>
    <xf numFmtId="1" fontId="0" fillId="0" borderId="15" xfId="0" applyNumberFormat="1" applyBorder="1"/>
    <xf numFmtId="0" fontId="0" fillId="0" borderId="15" xfId="0" applyFill="1" applyBorder="1" applyAlignment="1">
      <alignment wrapText="1"/>
    </xf>
    <xf numFmtId="0" fontId="0" fillId="0" borderId="15" xfId="0" applyFont="1" applyBorder="1" applyAlignment="1">
      <alignment wrapText="1"/>
    </xf>
    <xf numFmtId="164" fontId="2" fillId="0" borderId="17" xfId="1" applyNumberFormat="1" applyFont="1" applyBorder="1" applyAlignment="1">
      <alignment horizontal="right"/>
    </xf>
    <xf numFmtId="164" fontId="2" fillId="0" borderId="15" xfId="1" applyNumberFormat="1" applyFont="1" applyBorder="1" applyAlignment="1">
      <alignment horizontal="right"/>
    </xf>
    <xf numFmtId="0" fontId="7" fillId="0" borderId="0" xfId="0" applyFont="1" applyBorder="1" applyAlignment="1">
      <alignment vertical="center"/>
    </xf>
    <xf numFmtId="0" fontId="7" fillId="0" borderId="7" xfId="0" applyFont="1" applyBorder="1" applyAlignment="1">
      <alignment horizontal="left" vertical="center" wrapText="1"/>
    </xf>
    <xf numFmtId="0" fontId="7" fillId="0" borderId="21" xfId="0" applyFont="1" applyBorder="1" applyAlignment="1">
      <alignment horizontal="left" vertical="center" wrapText="1"/>
    </xf>
    <xf numFmtId="3" fontId="7" fillId="0" borderId="6" xfId="0" applyNumberFormat="1" applyFont="1" applyBorder="1" applyAlignment="1">
      <alignment horizontal="right" vertical="center" wrapText="1"/>
    </xf>
    <xf numFmtId="0" fontId="0" fillId="0" borderId="5" xfId="0" applyBorder="1"/>
    <xf numFmtId="3" fontId="7" fillId="0" borderId="9" xfId="0" applyNumberFormat="1" applyFont="1" applyBorder="1" applyAlignment="1">
      <alignment horizontal="right" vertical="center" wrapText="1"/>
    </xf>
    <xf numFmtId="3" fontId="3" fillId="2" borderId="2" xfId="0" applyNumberFormat="1" applyFont="1" applyFill="1" applyBorder="1"/>
    <xf numFmtId="3" fontId="3" fillId="2" borderId="9" xfId="0" applyNumberFormat="1" applyFont="1" applyFill="1" applyBorder="1"/>
    <xf numFmtId="0" fontId="0" fillId="0" borderId="3" xfId="0" applyFont="1" applyBorder="1" applyAlignment="1">
      <alignment horizontal="center" vertical="center" wrapText="1"/>
    </xf>
    <xf numFmtId="0" fontId="0" fillId="0" borderId="4" xfId="0" applyBorder="1" applyAlignment="1">
      <alignment horizontal="center" vertical="center"/>
    </xf>
    <xf numFmtId="0" fontId="3" fillId="2" borderId="4"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Normal="100" workbookViewId="0">
      <selection activeCell="F31" sqref="F31"/>
    </sheetView>
  </sheetViews>
  <sheetFormatPr defaultRowHeight="15" x14ac:dyDescent="0.25"/>
  <cols>
    <col min="2" max="2" width="7.42578125" bestFit="1" customWidth="1"/>
    <col min="3" max="3" width="9.5703125" customWidth="1"/>
    <col min="4" max="4" width="9.140625" bestFit="1" customWidth="1"/>
    <col min="5" max="5" width="5.42578125" bestFit="1" customWidth="1"/>
  </cols>
  <sheetData>
    <row r="1" spans="1:1" ht="18.75" x14ac:dyDescent="0.3">
      <c r="A1" s="32" t="s">
        <v>33</v>
      </c>
    </row>
    <row r="2" spans="1:1" x14ac:dyDescent="0.25">
      <c r="A2" t="s">
        <v>30</v>
      </c>
    </row>
    <row r="3" spans="1:1" x14ac:dyDescent="0.25">
      <c r="A3" t="s">
        <v>32</v>
      </c>
    </row>
    <row r="5" spans="1:1" x14ac:dyDescent="0.25">
      <c r="A5" s="34" t="s">
        <v>31</v>
      </c>
    </row>
    <row r="6" spans="1:1" x14ac:dyDescent="0.25">
      <c r="A6" s="42" t="s">
        <v>36</v>
      </c>
    </row>
    <row r="7" spans="1:1" ht="15.75" x14ac:dyDescent="0.25">
      <c r="A7" s="1" t="s">
        <v>101</v>
      </c>
    </row>
    <row r="8" spans="1:1" x14ac:dyDescent="0.25">
      <c r="A8" t="s">
        <v>102</v>
      </c>
    </row>
    <row r="9" spans="1:1" ht="15.75" x14ac:dyDescent="0.25">
      <c r="A9" s="1" t="s">
        <v>103</v>
      </c>
    </row>
    <row r="10" spans="1:1" ht="15.75" x14ac:dyDescent="0.25">
      <c r="A10" s="1" t="s">
        <v>104</v>
      </c>
    </row>
    <row r="11" spans="1:1" ht="15.75" x14ac:dyDescent="0.25">
      <c r="A11" s="2" t="s">
        <v>99</v>
      </c>
    </row>
    <row r="12" spans="1:1" ht="15.75" x14ac:dyDescent="0.25">
      <c r="A12" s="2" t="s">
        <v>113</v>
      </c>
    </row>
    <row r="13" spans="1:1" ht="15.75" x14ac:dyDescent="0.25">
      <c r="A13" s="2" t="s">
        <v>114</v>
      </c>
    </row>
    <row r="14" spans="1:1" ht="15.75" x14ac:dyDescent="0.25">
      <c r="A14" s="2" t="s">
        <v>115</v>
      </c>
    </row>
    <row r="15" spans="1:1" ht="15.75" x14ac:dyDescent="0.25">
      <c r="A15" s="43" t="s">
        <v>1</v>
      </c>
    </row>
    <row r="16" spans="1:1" ht="15.75" x14ac:dyDescent="0.25">
      <c r="A16" s="2" t="s">
        <v>116</v>
      </c>
    </row>
    <row r="17" spans="1:5" ht="15.75" x14ac:dyDescent="0.25">
      <c r="A17" s="2" t="s">
        <v>117</v>
      </c>
    </row>
    <row r="18" spans="1:5" ht="15.75" x14ac:dyDescent="0.25">
      <c r="A18" s="2" t="s">
        <v>118</v>
      </c>
    </row>
    <row r="19" spans="1:5" ht="15.75" x14ac:dyDescent="0.25">
      <c r="A19" s="43" t="s">
        <v>0</v>
      </c>
    </row>
    <row r="20" spans="1:5" ht="15.75" x14ac:dyDescent="0.25">
      <c r="A20" s="2" t="s">
        <v>100</v>
      </c>
    </row>
    <row r="21" spans="1:5" ht="15.75" x14ac:dyDescent="0.25">
      <c r="A21" s="43" t="s">
        <v>2</v>
      </c>
    </row>
    <row r="22" spans="1:5" ht="15.75" x14ac:dyDescent="0.25">
      <c r="A22" s="2" t="s">
        <v>119</v>
      </c>
    </row>
    <row r="23" spans="1:5" ht="15.75" x14ac:dyDescent="0.25">
      <c r="A23" s="43" t="s">
        <v>97</v>
      </c>
    </row>
    <row r="24" spans="1:5" x14ac:dyDescent="0.25">
      <c r="A24" s="40" t="s">
        <v>120</v>
      </c>
    </row>
    <row r="25" spans="1:5" x14ac:dyDescent="0.25">
      <c r="A25" s="40"/>
    </row>
    <row r="26" spans="1:5" ht="31.5" customHeight="1" x14ac:dyDescent="0.25">
      <c r="B26" s="227"/>
      <c r="C26" s="231" t="s">
        <v>111</v>
      </c>
      <c r="D26" s="232" t="s">
        <v>112</v>
      </c>
      <c r="E26" s="233" t="s">
        <v>4</v>
      </c>
    </row>
    <row r="27" spans="1:5" ht="15.75" x14ac:dyDescent="0.25">
      <c r="B27" s="224" t="s">
        <v>24</v>
      </c>
      <c r="C27" s="4">
        <v>21</v>
      </c>
      <c r="D27" s="211">
        <v>4</v>
      </c>
      <c r="E27" s="229">
        <f>SUM(C27:D27)</f>
        <v>25</v>
      </c>
    </row>
    <row r="28" spans="1:5" ht="15.75" x14ac:dyDescent="0.25">
      <c r="B28" s="224" t="s">
        <v>22</v>
      </c>
      <c r="C28" s="4">
        <v>23</v>
      </c>
      <c r="D28" s="208">
        <v>18</v>
      </c>
      <c r="E28" s="229">
        <f>SUM(C28:D28)</f>
        <v>41</v>
      </c>
    </row>
    <row r="29" spans="1:5" ht="15.75" x14ac:dyDescent="0.25">
      <c r="B29" s="224" t="s">
        <v>29</v>
      </c>
      <c r="C29" s="4">
        <v>60</v>
      </c>
      <c r="D29" s="208">
        <v>26</v>
      </c>
      <c r="E29" s="229">
        <f>SUM(C29:D29)</f>
        <v>86</v>
      </c>
    </row>
    <row r="30" spans="1:5" ht="15.75" x14ac:dyDescent="0.25">
      <c r="B30" s="225" t="s">
        <v>21</v>
      </c>
      <c r="C30" s="226">
        <v>3</v>
      </c>
      <c r="D30" s="228"/>
      <c r="E30" s="230">
        <f>SUM(C30:D30)</f>
        <v>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50"/>
  <sheetViews>
    <sheetView tabSelected="1" topLeftCell="CE1" zoomScale="70" zoomScaleNormal="70" workbookViewId="0">
      <pane ySplit="4" topLeftCell="A23" activePane="bottomLeft" state="frozen"/>
      <selection activeCell="BS1" sqref="BS1"/>
      <selection pane="bottomLeft" activeCell="CZ37" sqref="CZ37"/>
    </sheetView>
  </sheetViews>
  <sheetFormatPr defaultRowHeight="15" x14ac:dyDescent="0.25"/>
  <cols>
    <col min="1" max="1" width="25.5703125" customWidth="1"/>
    <col min="2" max="3" width="13.28515625" customWidth="1"/>
    <col min="4" max="4" width="12.85546875" customWidth="1"/>
    <col min="5" max="6" width="14.7109375" customWidth="1"/>
    <col min="7" max="14" width="12.85546875" hidden="1" customWidth="1"/>
    <col min="15" max="16" width="13.85546875" customWidth="1"/>
    <col min="18" max="18" width="23.85546875" customWidth="1"/>
    <col min="19" max="21" width="13.85546875" customWidth="1"/>
    <col min="22" max="22" width="9.28515625" bestFit="1" customWidth="1"/>
    <col min="23" max="23" width="14.85546875" customWidth="1"/>
    <col min="24" max="24" width="15.28515625" hidden="1" customWidth="1"/>
    <col min="25" max="25" width="15.140625" hidden="1" customWidth="1"/>
    <col min="26" max="26" width="9.5703125" hidden="1" customWidth="1"/>
    <col min="27" max="27" width="13.42578125" hidden="1" customWidth="1"/>
    <col min="28" max="28" width="9.140625" hidden="1" customWidth="1"/>
    <col min="29" max="29" width="12.140625" hidden="1" customWidth="1"/>
    <col min="30" max="30" width="9.140625" hidden="1" customWidth="1"/>
    <col min="31" max="32" width="12" hidden="1" customWidth="1"/>
    <col min="33" max="33" width="13.42578125" bestFit="1" customWidth="1"/>
    <col min="34" max="34" width="13.42578125" customWidth="1"/>
    <col min="36" max="36" width="26.5703125" customWidth="1"/>
    <col min="37" max="41" width="13.7109375" customWidth="1"/>
    <col min="42" max="42" width="8.85546875" customWidth="1"/>
    <col min="43" max="43" width="14.5703125" customWidth="1"/>
    <col min="44" max="44" width="9.5703125" hidden="1" customWidth="1"/>
    <col min="45" max="45" width="12.28515625" hidden="1" customWidth="1"/>
    <col min="46" max="46" width="9.5703125" hidden="1" customWidth="1"/>
    <col min="47" max="47" width="13.42578125" hidden="1" customWidth="1"/>
    <col min="48" max="48" width="8.5703125" hidden="1" customWidth="1"/>
    <col min="49" max="49" width="12.28515625" hidden="1" customWidth="1"/>
    <col min="50" max="50" width="8.5703125" hidden="1" customWidth="1"/>
    <col min="51" max="51" width="12.28515625" hidden="1" customWidth="1"/>
    <col min="52" max="52" width="15.140625" bestFit="1" customWidth="1"/>
    <col min="53" max="53" width="15.140625" customWidth="1"/>
    <col min="54" max="54" width="11.85546875" customWidth="1"/>
    <col min="55" max="55" width="29.7109375" customWidth="1"/>
    <col min="56" max="58" width="13.7109375" customWidth="1"/>
    <col min="59" max="59" width="8.85546875" customWidth="1"/>
    <col min="60" max="60" width="14.5703125" customWidth="1"/>
    <col min="61" max="61" width="9.5703125" hidden="1" customWidth="1"/>
    <col min="62" max="62" width="13.42578125" hidden="1" customWidth="1"/>
    <col min="63" max="63" width="9.5703125" hidden="1" customWidth="1"/>
    <col min="64" max="64" width="13.42578125" hidden="1" customWidth="1"/>
    <col min="65" max="65" width="8.5703125" hidden="1" customWidth="1"/>
    <col min="66" max="66" width="12.28515625" hidden="1" customWidth="1"/>
    <col min="67" max="67" width="8.5703125" hidden="1" customWidth="1"/>
    <col min="68" max="68" width="12.28515625" hidden="1" customWidth="1"/>
    <col min="69" max="69" width="15.140625" bestFit="1" customWidth="1"/>
    <col min="70" max="70" width="15.140625" customWidth="1"/>
    <col min="73" max="73" width="29.5703125" customWidth="1"/>
    <col min="74" max="74" width="15.7109375" bestFit="1" customWidth="1"/>
    <col min="75" max="79" width="15.7109375" customWidth="1"/>
    <col min="80" max="82" width="13.42578125" customWidth="1"/>
    <col min="83" max="83" width="14.5703125" customWidth="1"/>
    <col min="84" max="84" width="17" customWidth="1"/>
    <col min="85" max="85" width="13.28515625" hidden="1" customWidth="1"/>
    <col min="86" max="86" width="15.28515625" hidden="1" customWidth="1"/>
    <col min="87" max="87" width="17.7109375" hidden="1" customWidth="1"/>
    <col min="88" max="88" width="14.5703125" hidden="1" customWidth="1"/>
    <col min="89" max="89" width="12.42578125" hidden="1" customWidth="1"/>
    <col min="90" max="90" width="15.7109375" hidden="1" customWidth="1"/>
    <col min="91" max="92" width="13.140625" hidden="1" customWidth="1"/>
    <col min="93" max="93" width="15.7109375" style="12" bestFit="1" customWidth="1"/>
    <col min="94" max="94" width="16.85546875" style="12" bestFit="1" customWidth="1"/>
    <col min="95" max="95" width="13.140625" customWidth="1"/>
    <col min="98" max="98" width="25.140625" customWidth="1"/>
    <col min="99" max="99" width="14.28515625" bestFit="1" customWidth="1"/>
    <col min="100" max="100" width="14.28515625" customWidth="1"/>
    <col min="101" max="101" width="14.5703125" bestFit="1" customWidth="1"/>
    <col min="102" max="102" width="16.5703125" bestFit="1" customWidth="1"/>
    <col min="103" max="103" width="16.28515625" bestFit="1" customWidth="1"/>
    <col min="104" max="104" width="14.5703125" customWidth="1"/>
  </cols>
  <sheetData>
    <row r="1" spans="1:106" ht="18.75" x14ac:dyDescent="0.3">
      <c r="A1" s="33" t="s">
        <v>24</v>
      </c>
      <c r="B1">
        <v>25</v>
      </c>
      <c r="G1" s="77" t="s">
        <v>37</v>
      </c>
      <c r="H1" s="12"/>
      <c r="R1" s="33" t="s">
        <v>22</v>
      </c>
      <c r="S1">
        <v>41</v>
      </c>
      <c r="T1" s="33"/>
      <c r="U1" s="33"/>
      <c r="X1" s="77" t="s">
        <v>37</v>
      </c>
      <c r="Y1" s="12"/>
      <c r="AJ1" s="33" t="s">
        <v>29</v>
      </c>
      <c r="AK1">
        <v>86</v>
      </c>
      <c r="AL1" s="33"/>
      <c r="AM1" s="33"/>
      <c r="AN1" s="33"/>
      <c r="AO1" s="33"/>
      <c r="AR1" s="77" t="s">
        <v>37</v>
      </c>
      <c r="AS1" s="12"/>
      <c r="BC1" s="33" t="s">
        <v>21</v>
      </c>
      <c r="BD1">
        <v>3</v>
      </c>
      <c r="BE1" s="33"/>
      <c r="BF1" s="33"/>
      <c r="BI1" s="13" t="s">
        <v>37</v>
      </c>
      <c r="BJ1" s="12"/>
      <c r="BT1" s="33" t="s">
        <v>23</v>
      </c>
      <c r="CA1" s="33"/>
      <c r="CG1" s="13" t="s">
        <v>37</v>
      </c>
      <c r="CH1" s="12"/>
      <c r="CO1" s="47"/>
      <c r="CP1"/>
      <c r="CT1" s="11" t="s">
        <v>20</v>
      </c>
      <c r="CU1" s="3"/>
      <c r="CV1" s="3"/>
      <c r="CW1" s="3"/>
      <c r="CX1" s="3"/>
      <c r="CY1" s="3"/>
      <c r="CZ1" s="3"/>
      <c r="DA1" s="12"/>
      <c r="DB1" s="12"/>
    </row>
    <row r="2" spans="1:106" ht="15.75" x14ac:dyDescent="0.25">
      <c r="A2" s="47"/>
      <c r="G2" s="180" t="s">
        <v>16</v>
      </c>
      <c r="H2" s="181"/>
      <c r="I2" s="181" t="s">
        <v>15</v>
      </c>
      <c r="J2" s="181"/>
      <c r="K2" s="181" t="s">
        <v>14</v>
      </c>
      <c r="L2" s="181"/>
      <c r="M2" s="181" t="s">
        <v>13</v>
      </c>
      <c r="N2" s="181"/>
      <c r="O2" s="46" t="s">
        <v>5</v>
      </c>
      <c r="P2" s="44"/>
      <c r="R2" s="78"/>
      <c r="X2" s="184" t="s">
        <v>40</v>
      </c>
      <c r="Y2" s="182"/>
      <c r="Z2" s="185" t="s">
        <v>41</v>
      </c>
      <c r="AA2" s="185"/>
      <c r="AB2" s="185" t="s">
        <v>34</v>
      </c>
      <c r="AC2" s="185"/>
      <c r="AD2" s="185" t="s">
        <v>14</v>
      </c>
      <c r="AE2" s="185"/>
      <c r="AF2" s="79" t="s">
        <v>42</v>
      </c>
      <c r="AG2" s="46" t="s">
        <v>5</v>
      </c>
      <c r="AH2" s="44"/>
      <c r="AK2" s="45"/>
      <c r="AR2" s="180" t="s">
        <v>16</v>
      </c>
      <c r="AS2" s="181"/>
      <c r="AT2" s="181" t="s">
        <v>15</v>
      </c>
      <c r="AU2" s="181"/>
      <c r="AV2" s="181" t="s">
        <v>14</v>
      </c>
      <c r="AW2" s="181"/>
      <c r="AX2" s="181" t="s">
        <v>13</v>
      </c>
      <c r="AY2" s="181"/>
      <c r="AZ2" s="46" t="s">
        <v>5</v>
      </c>
      <c r="BA2" s="44"/>
      <c r="BC2" s="47"/>
      <c r="BI2" s="180" t="s">
        <v>16</v>
      </c>
      <c r="BJ2" s="181"/>
      <c r="BK2" s="181" t="s">
        <v>15</v>
      </c>
      <c r="BL2" s="181"/>
      <c r="BM2" s="181" t="s">
        <v>14</v>
      </c>
      <c r="BN2" s="181"/>
      <c r="BO2" s="181" t="s">
        <v>13</v>
      </c>
      <c r="BP2" s="181"/>
      <c r="BQ2" s="46" t="s">
        <v>5</v>
      </c>
      <c r="BR2" s="44"/>
      <c r="BU2" s="47"/>
      <c r="CG2" s="184" t="s">
        <v>17</v>
      </c>
      <c r="CH2" s="182"/>
      <c r="CI2" s="186" t="s">
        <v>25</v>
      </c>
      <c r="CJ2" s="186"/>
      <c r="CK2" s="186" t="s">
        <v>26</v>
      </c>
      <c r="CL2" s="186"/>
      <c r="CM2" s="185" t="s">
        <v>14</v>
      </c>
      <c r="CN2" s="183"/>
      <c r="CO2" s="168" t="s">
        <v>5</v>
      </c>
      <c r="CP2" t="s">
        <v>44</v>
      </c>
      <c r="CQ2" t="s">
        <v>43</v>
      </c>
      <c r="CT2" s="15"/>
      <c r="CU2" s="10"/>
      <c r="CV2" s="10"/>
      <c r="CW2" s="10"/>
      <c r="CX2" s="10"/>
      <c r="CY2" s="9" t="s">
        <v>5</v>
      </c>
      <c r="CZ2" s="41" t="s">
        <v>44</v>
      </c>
      <c r="DA2" s="14"/>
      <c r="DB2" s="14"/>
    </row>
    <row r="3" spans="1:106" ht="15.75" x14ac:dyDescent="0.25">
      <c r="A3" s="223"/>
      <c r="B3" s="45"/>
      <c r="C3" s="12"/>
      <c r="D3" s="12"/>
      <c r="E3" s="12"/>
      <c r="F3" s="47"/>
      <c r="G3" s="48" t="s">
        <v>11</v>
      </c>
      <c r="H3" s="48" t="s">
        <v>10</v>
      </c>
      <c r="I3" s="49" t="s">
        <v>11</v>
      </c>
      <c r="J3" s="49" t="s">
        <v>10</v>
      </c>
      <c r="K3" s="49" t="s">
        <v>11</v>
      </c>
      <c r="L3" s="49" t="s">
        <v>10</v>
      </c>
      <c r="M3" s="49" t="s">
        <v>11</v>
      </c>
      <c r="N3" s="49" t="s">
        <v>10</v>
      </c>
      <c r="O3" s="46"/>
      <c r="P3" s="44"/>
      <c r="R3" s="47"/>
      <c r="X3" s="45" t="s">
        <v>11</v>
      </c>
      <c r="Y3" s="12" t="s">
        <v>10</v>
      </c>
      <c r="Z3" t="s">
        <v>11</v>
      </c>
      <c r="AA3" t="s">
        <v>10</v>
      </c>
      <c r="AB3" t="s">
        <v>11</v>
      </c>
      <c r="AC3" t="s">
        <v>10</v>
      </c>
      <c r="AD3" t="s">
        <v>11</v>
      </c>
      <c r="AE3" t="s">
        <v>10</v>
      </c>
      <c r="AG3" s="46"/>
      <c r="AH3" s="44"/>
      <c r="AK3" s="45"/>
      <c r="AR3" s="50" t="s">
        <v>11</v>
      </c>
      <c r="AS3" s="48" t="s">
        <v>10</v>
      </c>
      <c r="AT3" s="49" t="s">
        <v>11</v>
      </c>
      <c r="AU3" s="49" t="s">
        <v>10</v>
      </c>
      <c r="AV3" s="49" t="s">
        <v>11</v>
      </c>
      <c r="AW3" s="49" t="s">
        <v>10</v>
      </c>
      <c r="AX3" s="49" t="s">
        <v>11</v>
      </c>
      <c r="AY3" s="49" t="s">
        <v>10</v>
      </c>
      <c r="AZ3" s="46"/>
      <c r="BA3" s="44"/>
      <c r="BC3" s="47"/>
      <c r="BI3" s="50" t="s">
        <v>11</v>
      </c>
      <c r="BJ3" s="48" t="s">
        <v>10</v>
      </c>
      <c r="BK3" s="49" t="s">
        <v>11</v>
      </c>
      <c r="BL3" s="49" t="s">
        <v>10</v>
      </c>
      <c r="BM3" s="49" t="s">
        <v>11</v>
      </c>
      <c r="BN3" s="49" t="s">
        <v>10</v>
      </c>
      <c r="BO3" s="49" t="s">
        <v>11</v>
      </c>
      <c r="BP3" s="49" t="s">
        <v>10</v>
      </c>
      <c r="BQ3" s="46"/>
      <c r="BR3" s="44"/>
      <c r="BU3" s="47"/>
      <c r="CG3" s="45" t="s">
        <v>11</v>
      </c>
      <c r="CH3" s="12" t="s">
        <v>10</v>
      </c>
      <c r="CI3" t="s">
        <v>11</v>
      </c>
      <c r="CJ3" t="s">
        <v>10</v>
      </c>
      <c r="CK3" t="s">
        <v>11</v>
      </c>
      <c r="CL3" t="s">
        <v>10</v>
      </c>
      <c r="CM3" t="s">
        <v>11</v>
      </c>
      <c r="CN3" t="s">
        <v>10</v>
      </c>
      <c r="CO3" s="168"/>
      <c r="CP3"/>
      <c r="CT3" s="15"/>
      <c r="CU3" s="10"/>
      <c r="CV3" s="10"/>
      <c r="CW3" s="10"/>
      <c r="CX3" s="10"/>
      <c r="CY3" s="9"/>
      <c r="CZ3" s="10"/>
      <c r="DA3" s="14"/>
      <c r="DB3" s="14"/>
    </row>
    <row r="4" spans="1:106" ht="47.25" x14ac:dyDescent="0.25">
      <c r="A4" s="167"/>
      <c r="B4" s="179" t="s">
        <v>7</v>
      </c>
      <c r="C4" s="179" t="s">
        <v>35</v>
      </c>
      <c r="D4" s="179" t="s">
        <v>6</v>
      </c>
      <c r="E4" s="179" t="s">
        <v>27</v>
      </c>
      <c r="F4" s="179" t="s">
        <v>28</v>
      </c>
      <c r="G4" s="51">
        <v>0.3</v>
      </c>
      <c r="H4" s="52">
        <v>17</v>
      </c>
      <c r="I4" s="53">
        <v>0.45</v>
      </c>
      <c r="J4" s="52">
        <v>50</v>
      </c>
      <c r="K4" s="53">
        <v>0.15</v>
      </c>
      <c r="L4" s="52">
        <v>54</v>
      </c>
      <c r="M4" s="53">
        <v>0.1</v>
      </c>
      <c r="N4" s="52">
        <v>77</v>
      </c>
      <c r="O4" s="54"/>
      <c r="P4" s="8"/>
      <c r="R4" s="47"/>
      <c r="S4" s="80" t="s">
        <v>12</v>
      </c>
      <c r="T4" s="80" t="s">
        <v>35</v>
      </c>
      <c r="U4" s="80" t="s">
        <v>45</v>
      </c>
      <c r="V4" s="80" t="s">
        <v>46</v>
      </c>
      <c r="W4" s="81" t="s">
        <v>28</v>
      </c>
      <c r="X4" s="82">
        <v>0.3</v>
      </c>
      <c r="Y4" s="83">
        <v>25</v>
      </c>
      <c r="Z4" s="84">
        <v>0.45</v>
      </c>
      <c r="AA4" s="85">
        <v>55</v>
      </c>
      <c r="AB4" s="84">
        <v>0.15</v>
      </c>
      <c r="AC4" s="85">
        <v>100</v>
      </c>
      <c r="AD4" s="84">
        <v>0.1</v>
      </c>
      <c r="AE4" s="85">
        <v>144</v>
      </c>
      <c r="AF4" s="85">
        <v>8</v>
      </c>
      <c r="AG4" s="54"/>
      <c r="AH4" s="8"/>
      <c r="AJ4" s="12"/>
      <c r="AK4" s="86" t="s">
        <v>47</v>
      </c>
      <c r="AL4" s="80" t="s">
        <v>48</v>
      </c>
      <c r="AM4" s="80" t="s">
        <v>49</v>
      </c>
      <c r="AN4" s="80" t="s">
        <v>35</v>
      </c>
      <c r="AO4" s="80" t="s">
        <v>50</v>
      </c>
      <c r="AP4" s="80" t="s">
        <v>46</v>
      </c>
      <c r="AQ4" s="81" t="s">
        <v>28</v>
      </c>
      <c r="AR4" s="53">
        <v>0.3</v>
      </c>
      <c r="AS4" s="52">
        <v>17</v>
      </c>
      <c r="AT4" s="53">
        <v>0.45</v>
      </c>
      <c r="AU4" s="52">
        <v>50</v>
      </c>
      <c r="AV4" s="53">
        <v>0.15</v>
      </c>
      <c r="AW4" s="52">
        <v>54</v>
      </c>
      <c r="AX4" s="53">
        <v>0.1</v>
      </c>
      <c r="AY4" s="52">
        <v>77</v>
      </c>
      <c r="AZ4" s="54"/>
      <c r="BA4" s="8"/>
      <c r="BC4" s="47"/>
      <c r="BD4" s="80" t="s">
        <v>12</v>
      </c>
      <c r="BE4" s="80" t="s">
        <v>35</v>
      </c>
      <c r="BF4" s="80" t="s">
        <v>50</v>
      </c>
      <c r="BG4" s="80" t="s">
        <v>46</v>
      </c>
      <c r="BH4" s="81" t="s">
        <v>28</v>
      </c>
      <c r="BI4" s="53">
        <v>0.3</v>
      </c>
      <c r="BJ4" s="52">
        <v>17</v>
      </c>
      <c r="BK4" s="53">
        <v>0.45</v>
      </c>
      <c r="BL4" s="52">
        <v>50</v>
      </c>
      <c r="BM4" s="53">
        <v>0.15</v>
      </c>
      <c r="BN4" s="52">
        <v>54</v>
      </c>
      <c r="BO4" s="53">
        <v>0.1</v>
      </c>
      <c r="BP4" s="52">
        <v>77</v>
      </c>
      <c r="BQ4" s="45" t="s">
        <v>51</v>
      </c>
      <c r="BR4" s="12"/>
      <c r="BU4" s="47"/>
      <c r="BV4" s="80" t="s">
        <v>12</v>
      </c>
      <c r="BW4" s="16" t="s">
        <v>9</v>
      </c>
      <c r="BX4" s="16" t="s">
        <v>8</v>
      </c>
      <c r="BY4" s="179" t="s">
        <v>106</v>
      </c>
      <c r="BZ4" s="179" t="s">
        <v>105</v>
      </c>
      <c r="CA4" s="80" t="s">
        <v>50</v>
      </c>
      <c r="CB4" s="179" t="s">
        <v>110</v>
      </c>
      <c r="CC4" s="80" t="s">
        <v>52</v>
      </c>
      <c r="CD4" s="179" t="s">
        <v>108</v>
      </c>
      <c r="CE4" s="179" t="s">
        <v>107</v>
      </c>
      <c r="CF4" s="164" t="s">
        <v>109</v>
      </c>
      <c r="CM4" s="89"/>
      <c r="CO4" s="169"/>
      <c r="CP4"/>
      <c r="CT4" s="15"/>
      <c r="CU4" s="16" t="s">
        <v>7</v>
      </c>
      <c r="CV4" s="16" t="s">
        <v>6</v>
      </c>
      <c r="CW4" s="16" t="s">
        <v>27</v>
      </c>
      <c r="CX4" s="16" t="s">
        <v>28</v>
      </c>
      <c r="CY4" s="17"/>
      <c r="CZ4" s="16"/>
      <c r="DA4" s="14"/>
      <c r="DB4" s="14"/>
    </row>
    <row r="5" spans="1:106" ht="31.5" x14ac:dyDescent="0.25">
      <c r="A5" s="90" t="s">
        <v>53</v>
      </c>
      <c r="B5" s="35">
        <v>30000</v>
      </c>
      <c r="C5" s="35">
        <f>B1</f>
        <v>25</v>
      </c>
      <c r="D5" s="36">
        <v>1</v>
      </c>
      <c r="E5" s="36">
        <v>0.25</v>
      </c>
      <c r="F5" s="35">
        <f>C5*D5*E5</f>
        <v>6.25</v>
      </c>
      <c r="G5" s="5">
        <f>G$4*$F5</f>
        <v>1.875</v>
      </c>
      <c r="H5" s="91">
        <f>H$4*G5</f>
        <v>31.875</v>
      </c>
      <c r="I5" s="4">
        <f>I$4*$F5</f>
        <v>2.8125</v>
      </c>
      <c r="J5" s="91">
        <f>J$4*I5</f>
        <v>140.625</v>
      </c>
      <c r="K5" s="4">
        <f>K$4*$F5</f>
        <v>0.9375</v>
      </c>
      <c r="L5" s="91">
        <f>L$4*K5</f>
        <v>50.625</v>
      </c>
      <c r="M5" s="4">
        <f>M$4*$F5</f>
        <v>0.625</v>
      </c>
      <c r="N5" s="91">
        <f>N$4*M5</f>
        <v>48.125</v>
      </c>
      <c r="O5" s="92">
        <f>SUM(H5,J5,L5,N5)</f>
        <v>271.25</v>
      </c>
      <c r="P5" s="192"/>
      <c r="R5" s="93" t="s">
        <v>54</v>
      </c>
      <c r="S5" s="38">
        <v>5104</v>
      </c>
      <c r="T5" s="38">
        <f>S1</f>
        <v>41</v>
      </c>
      <c r="U5" s="38">
        <v>1</v>
      </c>
      <c r="V5">
        <v>40</v>
      </c>
      <c r="W5" s="58">
        <f>T5*U5*V5</f>
        <v>1640</v>
      </c>
      <c r="X5" s="37">
        <f>X$4*$W5</f>
        <v>492</v>
      </c>
      <c r="Y5" s="59">
        <f>Y$4*X5</f>
        <v>12300</v>
      </c>
      <c r="Z5" s="58">
        <f>Z$4*$W5</f>
        <v>738</v>
      </c>
      <c r="AA5" s="59">
        <f>AA$4*Z5</f>
        <v>40590</v>
      </c>
      <c r="AB5" s="58">
        <f>AB$4*$W5</f>
        <v>246</v>
      </c>
      <c r="AC5" s="59">
        <f>AC$4*AB5</f>
        <v>24600</v>
      </c>
      <c r="AD5" s="58">
        <f>AD$4*$W5</f>
        <v>164</v>
      </c>
      <c r="AE5" s="59">
        <f>AE$4*AD5</f>
        <v>23616</v>
      </c>
      <c r="AF5" s="59"/>
      <c r="AG5" s="60">
        <f>SUM(Y5,AA5,AC5,AE5,AF5)</f>
        <v>101106</v>
      </c>
      <c r="AH5" s="94"/>
      <c r="AJ5" s="95" t="s">
        <v>55</v>
      </c>
      <c r="AK5" s="45">
        <v>90</v>
      </c>
      <c r="AL5">
        <f>ROUND(708*360/1650*AK5/360,0)</f>
        <v>39</v>
      </c>
      <c r="AM5">
        <f>SUM(AK5:AL5)</f>
        <v>129</v>
      </c>
      <c r="AN5">
        <f>ROUNDUP(AK1*360/1650*AM5/505,0)</f>
        <v>5</v>
      </c>
      <c r="AO5">
        <v>1</v>
      </c>
      <c r="AP5">
        <v>2</v>
      </c>
      <c r="AQ5">
        <f>AN5*AO5*AP5</f>
        <v>10</v>
      </c>
      <c r="AR5" s="96">
        <f>AR$4*$AQ5</f>
        <v>3</v>
      </c>
      <c r="AS5" s="85">
        <f>AS$4*AR5</f>
        <v>51</v>
      </c>
      <c r="AT5" s="97">
        <f>AT$4*$AQ5</f>
        <v>4.5</v>
      </c>
      <c r="AU5" s="85">
        <f>AU$4*AT5</f>
        <v>225</v>
      </c>
      <c r="AV5" s="97">
        <f>AV$4*$AQ5</f>
        <v>1.5</v>
      </c>
      <c r="AW5" s="85">
        <f>AW$4*AV5</f>
        <v>81</v>
      </c>
      <c r="AX5" s="97">
        <f>AX$4*$AQ5</f>
        <v>1</v>
      </c>
      <c r="AY5" s="85">
        <f>AY$4*AX5</f>
        <v>77</v>
      </c>
      <c r="AZ5" s="98">
        <f>SUM(AS5,AU5,AW5,AY5)</f>
        <v>434</v>
      </c>
      <c r="BA5" s="83"/>
      <c r="BC5" s="99" t="s">
        <v>56</v>
      </c>
      <c r="BD5" s="38">
        <v>5245</v>
      </c>
      <c r="BE5" s="38">
        <f>BD1</f>
        <v>3</v>
      </c>
      <c r="BF5" s="38">
        <v>1</v>
      </c>
      <c r="BG5">
        <v>25</v>
      </c>
      <c r="BH5" s="38">
        <f>BE5*BF5*BG5</f>
        <v>75</v>
      </c>
      <c r="BI5" s="37">
        <f>BI$4*$BH5</f>
        <v>22.5</v>
      </c>
      <c r="BJ5" s="59">
        <f>BJ$4*BI5</f>
        <v>382.5</v>
      </c>
      <c r="BK5" s="58">
        <f>BK$4*$BH5</f>
        <v>33.75</v>
      </c>
      <c r="BL5" s="59">
        <f>BL$4*BK5</f>
        <v>1687.5</v>
      </c>
      <c r="BM5" s="58">
        <f>BM$4*$BH5</f>
        <v>11.25</v>
      </c>
      <c r="BN5" s="59">
        <f>BN$4*BM5</f>
        <v>607.5</v>
      </c>
      <c r="BO5" s="58">
        <f>BO$4*$BH5</f>
        <v>7.5</v>
      </c>
      <c r="BP5" s="59">
        <f>BP$4*BO5</f>
        <v>577.5</v>
      </c>
      <c r="BQ5" s="60">
        <f>SUM(BJ5,BL5,BN5,BP5)</f>
        <v>3255</v>
      </c>
      <c r="BR5" s="94"/>
      <c r="BS5" t="s">
        <v>38</v>
      </c>
      <c r="BT5" s="31" t="s">
        <v>57</v>
      </c>
      <c r="BU5" s="100"/>
      <c r="BV5" s="80" t="s">
        <v>38</v>
      </c>
      <c r="BW5" s="80"/>
      <c r="BX5" s="80"/>
      <c r="BY5" s="80"/>
      <c r="BZ5" s="80"/>
      <c r="CA5" s="80"/>
      <c r="CB5" s="80"/>
      <c r="CC5" s="80"/>
      <c r="CD5" s="80"/>
      <c r="CE5" s="16"/>
      <c r="CF5" s="16"/>
      <c r="CG5" s="87"/>
      <c r="CH5" s="88"/>
      <c r="CI5" s="84"/>
      <c r="CJ5" s="89"/>
      <c r="CK5" s="84"/>
      <c r="CL5" s="89"/>
      <c r="CM5" s="89"/>
      <c r="CO5" s="169"/>
      <c r="CP5"/>
      <c r="CT5" s="15"/>
      <c r="CU5" s="16"/>
      <c r="CV5" s="16"/>
      <c r="CW5" s="16"/>
      <c r="CX5" s="16"/>
      <c r="CY5" s="17"/>
      <c r="CZ5" s="16"/>
      <c r="DA5" s="12"/>
      <c r="DB5" s="12"/>
    </row>
    <row r="6" spans="1:106" ht="31.5" x14ac:dyDescent="0.25">
      <c r="A6" s="101" t="s">
        <v>58</v>
      </c>
      <c r="B6" s="36"/>
      <c r="C6" s="36"/>
      <c r="D6" s="36"/>
      <c r="E6" s="36"/>
      <c r="F6" s="36"/>
      <c r="G6" s="5"/>
      <c r="H6" s="91"/>
      <c r="I6" s="4"/>
      <c r="J6" s="91"/>
      <c r="K6" s="4"/>
      <c r="L6" s="91"/>
      <c r="M6" s="4"/>
      <c r="N6" s="91"/>
      <c r="O6" s="92"/>
      <c r="P6" s="192"/>
      <c r="R6" s="93" t="s">
        <v>59</v>
      </c>
      <c r="S6" s="38">
        <v>100100</v>
      </c>
      <c r="T6" s="38">
        <f>ROUNDUP(S6*S1/S5,0)</f>
        <v>805</v>
      </c>
      <c r="U6" s="38">
        <v>1</v>
      </c>
      <c r="V6" s="102">
        <f>14/60</f>
        <v>0.23333333333333334</v>
      </c>
      <c r="W6" s="58">
        <f>T6*U6*V6</f>
        <v>187.83333333333334</v>
      </c>
      <c r="X6" s="57">
        <f>X$4*$W6</f>
        <v>56.35</v>
      </c>
      <c r="Y6" s="59">
        <f>Y$4*X6</f>
        <v>1408.75</v>
      </c>
      <c r="Z6" s="58">
        <f>Z$4*$W6</f>
        <v>84.525000000000006</v>
      </c>
      <c r="AA6" s="59">
        <f>AA$4*Z6</f>
        <v>4648.875</v>
      </c>
      <c r="AB6" s="58">
        <f>AB$4*$W6</f>
        <v>28.175000000000001</v>
      </c>
      <c r="AC6" s="59">
        <f>AC$4*AB6</f>
        <v>2817.5</v>
      </c>
      <c r="AD6" s="58">
        <f>AD$4*$W6</f>
        <v>18.783333333333335</v>
      </c>
      <c r="AE6" s="59">
        <f>AE$4*AD6</f>
        <v>2704.8</v>
      </c>
      <c r="AF6" s="59">
        <f>T6*AF4</f>
        <v>6440</v>
      </c>
      <c r="AG6" s="60">
        <f>SUM(Y6,AA6,AC6,AE6,AF6)</f>
        <v>18019.924999999999</v>
      </c>
      <c r="AH6" s="94"/>
      <c r="AJ6" s="95" t="s">
        <v>60</v>
      </c>
      <c r="AK6" s="45">
        <v>270</v>
      </c>
      <c r="AL6">
        <f>ROUND(708*360/1650*AK6/360,0)</f>
        <v>116</v>
      </c>
      <c r="AM6">
        <f>SUM(AK6:AL6)</f>
        <v>386</v>
      </c>
      <c r="AN6">
        <f>ROUNDUP(AK1*360/1650*AM6/505,0)</f>
        <v>15</v>
      </c>
      <c r="AO6">
        <v>1</v>
      </c>
      <c r="AP6">
        <v>1</v>
      </c>
      <c r="AQ6">
        <f>AN6*AO6*AP6</f>
        <v>15</v>
      </c>
      <c r="AR6" s="96">
        <f>AR$4*$AQ6</f>
        <v>4.5</v>
      </c>
      <c r="AS6" s="85">
        <f>AS$4*AR6</f>
        <v>76.5</v>
      </c>
      <c r="AT6" s="97">
        <f>AT$4*$AQ6</f>
        <v>6.75</v>
      </c>
      <c r="AU6" s="85">
        <f>AU$4*AT6</f>
        <v>337.5</v>
      </c>
      <c r="AV6" s="97">
        <f>AV$4*$AQ6</f>
        <v>2.25</v>
      </c>
      <c r="AW6" s="85">
        <f>AW$4*AV6</f>
        <v>121.5</v>
      </c>
      <c r="AX6" s="97">
        <f>AX$4*$AQ6</f>
        <v>1.5</v>
      </c>
      <c r="AY6" s="85">
        <f>AY$4*AX6</f>
        <v>115.5</v>
      </c>
      <c r="AZ6" s="98">
        <f>SUM(AS6,AU6,AW6,AY6)</f>
        <v>651</v>
      </c>
      <c r="BA6" s="83"/>
      <c r="BC6" s="99" t="s">
        <v>61</v>
      </c>
      <c r="BD6" s="38">
        <v>5245</v>
      </c>
      <c r="BE6" s="38">
        <f>BD1</f>
        <v>3</v>
      </c>
      <c r="BF6" s="38">
        <v>1</v>
      </c>
      <c r="BG6">
        <v>4</v>
      </c>
      <c r="BH6" s="38">
        <f>BE6*BF6*BG6</f>
        <v>12</v>
      </c>
      <c r="BI6" s="37">
        <f>BI$4*$BH6</f>
        <v>3.5999999999999996</v>
      </c>
      <c r="BJ6" s="59">
        <f>BJ$4*BI6</f>
        <v>61.199999999999996</v>
      </c>
      <c r="BK6" s="58">
        <f>BK$4*$BH6</f>
        <v>5.4</v>
      </c>
      <c r="BL6" s="59">
        <f>BL$4*BK6</f>
        <v>270</v>
      </c>
      <c r="BM6" s="58">
        <f>BM$4*$BH6</f>
        <v>1.7999999999999998</v>
      </c>
      <c r="BN6" s="59">
        <f>BN$4*BM6</f>
        <v>97.199999999999989</v>
      </c>
      <c r="BO6" s="58">
        <f>BO$4*$BH6</f>
        <v>1.2000000000000002</v>
      </c>
      <c r="BP6" s="59">
        <f>BP$4*BO6</f>
        <v>92.40000000000002</v>
      </c>
      <c r="BQ6" s="60">
        <f>SUM(BJ6,BL6,BN6,BP6)</f>
        <v>520.79999999999995</v>
      </c>
      <c r="BR6" s="94"/>
      <c r="BU6" s="103" t="s">
        <v>62</v>
      </c>
      <c r="BV6" s="104">
        <v>26690000</v>
      </c>
      <c r="BW6" s="104"/>
      <c r="BX6" s="104">
        <f>BV6-BW6</f>
        <v>26690000</v>
      </c>
      <c r="BY6" s="104">
        <f>ROUNDUP(BX6/2,0)+BW6</f>
        <v>13345000</v>
      </c>
      <c r="BZ6" s="104">
        <f>BV6-BY6</f>
        <v>13345000</v>
      </c>
      <c r="CA6" s="104">
        <v>1</v>
      </c>
      <c r="CB6" s="104"/>
      <c r="CC6" s="104"/>
      <c r="CD6" s="188">
        <f>BW6*CA6*CC6</f>
        <v>0</v>
      </c>
      <c r="CE6" s="105">
        <f>311000/2</f>
        <v>155500</v>
      </c>
      <c r="CF6" s="38">
        <f>CE6</f>
        <v>155500</v>
      </c>
      <c r="CG6" s="62"/>
      <c r="CH6" s="19"/>
      <c r="CI6" s="106"/>
      <c r="CJ6" s="106"/>
      <c r="CK6" s="106"/>
      <c r="CL6" s="106"/>
      <c r="CM6" s="106"/>
      <c r="CN6" s="106"/>
      <c r="CO6" s="189">
        <v>2595000</v>
      </c>
      <c r="CP6" s="107">
        <v>8390000</v>
      </c>
      <c r="CQ6" s="107">
        <f>CP6/2</f>
        <v>4195000</v>
      </c>
      <c r="CT6" s="15"/>
      <c r="CU6" s="16"/>
      <c r="CV6" s="16"/>
      <c r="CW6" s="16"/>
      <c r="CX6" s="16"/>
      <c r="CY6" s="17"/>
      <c r="CZ6" s="16"/>
      <c r="DA6" s="12"/>
      <c r="DB6" s="12"/>
    </row>
    <row r="7" spans="1:106" ht="75" x14ac:dyDescent="0.25">
      <c r="A7" s="90" t="s">
        <v>63</v>
      </c>
      <c r="B7" s="35">
        <v>2619</v>
      </c>
      <c r="C7" s="35">
        <f>B1</f>
        <v>25</v>
      </c>
      <c r="D7" s="36">
        <v>1</v>
      </c>
      <c r="E7" s="36">
        <v>18</v>
      </c>
      <c r="F7" s="35">
        <f>C7*D7*E7</f>
        <v>450</v>
      </c>
      <c r="G7" s="5">
        <f>G$4*$F7</f>
        <v>135</v>
      </c>
      <c r="H7" s="91">
        <f t="shared" ref="H7:H14" si="0">H$4*G7</f>
        <v>2295</v>
      </c>
      <c r="I7" s="4">
        <f>I$4*$F7</f>
        <v>202.5</v>
      </c>
      <c r="J7" s="91">
        <f t="shared" ref="J7:J14" si="1">J$4*I7</f>
        <v>10125</v>
      </c>
      <c r="K7" s="4">
        <f>K$4*$F7</f>
        <v>67.5</v>
      </c>
      <c r="L7" s="91">
        <f t="shared" ref="L7:L14" si="2">L$4*K7</f>
        <v>3645</v>
      </c>
      <c r="M7" s="4">
        <f>M$4*$F7</f>
        <v>45</v>
      </c>
      <c r="N7" s="91">
        <f t="shared" ref="N7:N14" si="3">N$4*M7</f>
        <v>3465</v>
      </c>
      <c r="O7" s="92">
        <f t="shared" ref="O7:O13" si="4">SUM(H7,J7,L7,N7)</f>
        <v>19530</v>
      </c>
      <c r="P7" s="192"/>
      <c r="R7" s="108"/>
      <c r="X7" s="45"/>
      <c r="AG7" s="45"/>
      <c r="AH7" s="12"/>
      <c r="AJ7" s="95" t="s">
        <v>64</v>
      </c>
      <c r="AK7" s="45">
        <v>135</v>
      </c>
      <c r="AL7">
        <f>ROUND(708*360/1650*AK7/360,0)</f>
        <v>58</v>
      </c>
      <c r="AM7">
        <f>SUM(AK7:AL7)</f>
        <v>193</v>
      </c>
      <c r="AN7">
        <f>ROUNDUP(AK1*360/1650*AM7/505,0)</f>
        <v>8</v>
      </c>
      <c r="AO7">
        <v>1</v>
      </c>
      <c r="AP7">
        <v>1</v>
      </c>
      <c r="AQ7">
        <f>AN7*AO7*AP7</f>
        <v>8</v>
      </c>
      <c r="AR7" s="96">
        <f>AR$4*$AQ7</f>
        <v>2.4</v>
      </c>
      <c r="AS7" s="85">
        <f>AS$4*AR7</f>
        <v>40.799999999999997</v>
      </c>
      <c r="AT7" s="97">
        <f>AT$4*$AQ7</f>
        <v>3.6</v>
      </c>
      <c r="AU7" s="85">
        <f>AU$4*AT7</f>
        <v>180</v>
      </c>
      <c r="AV7" s="97">
        <f>AV$4*$AQ7</f>
        <v>1.2</v>
      </c>
      <c r="AW7" s="85">
        <f>AW$4*AV7</f>
        <v>64.8</v>
      </c>
      <c r="AX7" s="97">
        <f>AX$4*$AQ7</f>
        <v>0.8</v>
      </c>
      <c r="AY7" s="85">
        <f>AY$4*AX7</f>
        <v>61.6</v>
      </c>
      <c r="AZ7" s="98">
        <f>SUM(AS7,AU7,AW7,AY7)</f>
        <v>347.20000000000005</v>
      </c>
      <c r="BA7" s="83"/>
      <c r="BC7" s="99" t="s">
        <v>65</v>
      </c>
      <c r="BD7" s="38">
        <v>5245</v>
      </c>
      <c r="BE7" s="38">
        <f>BD1</f>
        <v>3</v>
      </c>
      <c r="BF7" s="38">
        <v>1</v>
      </c>
      <c r="BG7">
        <v>2</v>
      </c>
      <c r="BH7" s="38">
        <f>BE7*BF7*BG7</f>
        <v>6</v>
      </c>
      <c r="BI7" s="37">
        <f>BI$4*$BH7</f>
        <v>1.7999999999999998</v>
      </c>
      <c r="BJ7" s="59">
        <f>BJ$4*BI7</f>
        <v>30.599999999999998</v>
      </c>
      <c r="BK7" s="58">
        <f>BK$4*$BH7</f>
        <v>2.7</v>
      </c>
      <c r="BL7" s="59">
        <f>BL$4*BK7</f>
        <v>135</v>
      </c>
      <c r="BM7" s="58">
        <f>BM$4*$BH7</f>
        <v>0.89999999999999991</v>
      </c>
      <c r="BN7" s="59">
        <f>BN$4*BM7</f>
        <v>48.599999999999994</v>
      </c>
      <c r="BO7" s="58">
        <f>BO$4*$BH7</f>
        <v>0.60000000000000009</v>
      </c>
      <c r="BP7" s="59">
        <f>BP$4*BO7</f>
        <v>46.20000000000001</v>
      </c>
      <c r="BQ7" s="60">
        <f>SUM(BJ7,BL7,BN7,BP7)</f>
        <v>260.39999999999998</v>
      </c>
      <c r="BR7" s="94"/>
      <c r="BU7" s="103" t="s">
        <v>66</v>
      </c>
      <c r="BV7" s="104">
        <v>3</v>
      </c>
      <c r="BW7" s="104"/>
      <c r="BX7" s="104">
        <f>BV7-BW7</f>
        <v>3</v>
      </c>
      <c r="BY7" s="104">
        <f>ROUNDUP(BX7/2,0)+BW7</f>
        <v>2</v>
      </c>
      <c r="BZ7" s="104">
        <f>BV7-BY7</f>
        <v>1</v>
      </c>
      <c r="CA7" s="104">
        <v>1</v>
      </c>
      <c r="CB7" s="104">
        <v>12</v>
      </c>
      <c r="CC7" s="104">
        <f>CB7</f>
        <v>12</v>
      </c>
      <c r="CD7" s="188">
        <f>BW7*CA7*CC7</f>
        <v>0</v>
      </c>
      <c r="CE7" s="58">
        <f>BY7*CA7*CC7</f>
        <v>24</v>
      </c>
      <c r="CF7" s="38">
        <f>BZ7*CA7*CC7</f>
        <v>12</v>
      </c>
      <c r="CG7" s="62"/>
      <c r="CH7" s="19"/>
      <c r="CI7" s="106"/>
      <c r="CJ7" s="106"/>
      <c r="CK7" s="106"/>
      <c r="CL7" s="106"/>
      <c r="CM7" s="106"/>
      <c r="CN7" s="106"/>
      <c r="CO7" s="189">
        <v>710</v>
      </c>
      <c r="CP7" s="106"/>
      <c r="CQ7" s="106"/>
      <c r="CT7" s="15"/>
      <c r="CU7" s="16"/>
      <c r="CV7" s="16"/>
      <c r="CW7" s="16"/>
      <c r="CX7" s="16"/>
      <c r="CY7" s="17"/>
      <c r="CZ7" s="16"/>
      <c r="DA7" s="12"/>
      <c r="DB7" s="12"/>
    </row>
    <row r="8" spans="1:106" ht="61.5" customHeight="1" x14ac:dyDescent="0.25">
      <c r="A8" s="90" t="s">
        <v>67</v>
      </c>
      <c r="B8" s="35">
        <v>638380</v>
      </c>
      <c r="C8" s="35">
        <f>ROUNDUP(B8*B1/B7,0)</f>
        <v>6094</v>
      </c>
      <c r="D8" s="36">
        <v>1</v>
      </c>
      <c r="E8" s="109">
        <f>5/60</f>
        <v>8.3333333333333329E-2</v>
      </c>
      <c r="F8" s="35">
        <f>C8*D8*E8</f>
        <v>507.83333333333331</v>
      </c>
      <c r="G8" s="5"/>
      <c r="H8" s="91"/>
      <c r="I8" s="4"/>
      <c r="J8" s="91"/>
      <c r="K8" s="4"/>
      <c r="L8" s="91"/>
      <c r="M8" s="4"/>
      <c r="N8" s="91"/>
      <c r="O8" s="92">
        <f>F8*21</f>
        <v>10664.5</v>
      </c>
      <c r="P8" s="192"/>
      <c r="R8" s="108"/>
      <c r="X8" s="45"/>
      <c r="AG8" s="45"/>
      <c r="AH8" s="12"/>
      <c r="AJ8" s="95" t="s">
        <v>68</v>
      </c>
      <c r="AK8" s="39">
        <v>406125</v>
      </c>
      <c r="AL8" s="38">
        <f>ROUND(193479*AK8/541500,0)</f>
        <v>145109</v>
      </c>
      <c r="AM8" s="38">
        <f>SUM(AK8:AL8)</f>
        <v>551234</v>
      </c>
      <c r="AN8" s="38">
        <f>ROUNDUP(AM8*AK1/1650*36/505,0)</f>
        <v>2049</v>
      </c>
      <c r="AO8" s="38">
        <v>1</v>
      </c>
      <c r="AP8" s="61">
        <f>1/60</f>
        <v>1.6666666666666666E-2</v>
      </c>
      <c r="AQ8" s="97">
        <f>AN8*AO8*AP8</f>
        <v>34.15</v>
      </c>
      <c r="AR8" s="96">
        <f>AR$4*$AQ8</f>
        <v>10.244999999999999</v>
      </c>
      <c r="AS8" s="85">
        <f>AS$4*AR8</f>
        <v>174.16499999999999</v>
      </c>
      <c r="AT8" s="97">
        <f>AT$4*$AQ8</f>
        <v>15.3675</v>
      </c>
      <c r="AU8" s="85">
        <f>AU$4*AT8</f>
        <v>768.375</v>
      </c>
      <c r="AV8" s="97">
        <f>AV$4*$AQ8</f>
        <v>5.1224999999999996</v>
      </c>
      <c r="AW8" s="85">
        <f>AW$4*AV8</f>
        <v>276.61499999999995</v>
      </c>
      <c r="AX8" s="97">
        <f>AX$4*$AQ8</f>
        <v>3.415</v>
      </c>
      <c r="AY8" s="85">
        <f>AY$4*AX8</f>
        <v>262.95499999999998</v>
      </c>
      <c r="AZ8" s="98">
        <f>SUM(AS8,AU8,AW8,AY8)</f>
        <v>1482.11</v>
      </c>
      <c r="BA8" s="83"/>
      <c r="BC8" s="99" t="s">
        <v>69</v>
      </c>
      <c r="BD8" s="38">
        <v>5245</v>
      </c>
      <c r="BE8" s="38">
        <f>BD1</f>
        <v>3</v>
      </c>
      <c r="BF8" s="38">
        <v>1</v>
      </c>
      <c r="BG8">
        <v>4</v>
      </c>
      <c r="BH8" s="38">
        <f>BE8*BF8*BG8</f>
        <v>12</v>
      </c>
      <c r="BI8" s="37">
        <f>BI$4*$BH8</f>
        <v>3.5999999999999996</v>
      </c>
      <c r="BJ8" s="59">
        <f>BJ$4*BI8</f>
        <v>61.199999999999996</v>
      </c>
      <c r="BK8" s="58">
        <f>BK$4*$BH8</f>
        <v>5.4</v>
      </c>
      <c r="BL8" s="59">
        <f>BL$4*BK8</f>
        <v>270</v>
      </c>
      <c r="BM8" s="58">
        <f>BM$4*$BH8</f>
        <v>1.7999999999999998</v>
      </c>
      <c r="BN8" s="59">
        <f>BN$4*BM8</f>
        <v>97.199999999999989</v>
      </c>
      <c r="BO8" s="58">
        <f>BO$4*$BH8</f>
        <v>1.2000000000000002</v>
      </c>
      <c r="BP8" s="59">
        <f>BP$4*BO8</f>
        <v>92.40000000000002</v>
      </c>
      <c r="BQ8" s="60">
        <f>SUM(BJ8,BL8,BN8,BP8)</f>
        <v>520.79999999999995</v>
      </c>
      <c r="BR8" s="94"/>
      <c r="BU8" s="103"/>
      <c r="BV8" s="104"/>
      <c r="BW8" s="104"/>
      <c r="BX8" s="104"/>
      <c r="BY8" s="104"/>
      <c r="BZ8" s="104"/>
      <c r="CA8" s="104"/>
      <c r="CB8" s="187"/>
      <c r="CC8" s="104"/>
      <c r="CD8" s="104"/>
      <c r="CE8" s="58"/>
      <c r="CF8" s="105"/>
      <c r="CG8" s="62"/>
      <c r="CH8" s="19"/>
      <c r="CI8" s="106"/>
      <c r="CJ8" s="106"/>
      <c r="CK8" s="106"/>
      <c r="CL8" s="106"/>
      <c r="CM8" s="106"/>
      <c r="CN8" s="106"/>
      <c r="CO8" s="189"/>
      <c r="CP8" s="106"/>
      <c r="CQ8" s="106"/>
      <c r="CT8" s="15"/>
      <c r="CU8" s="16"/>
      <c r="CV8" s="16"/>
      <c r="CW8" s="16"/>
      <c r="CX8" s="16"/>
      <c r="CY8" s="17"/>
      <c r="CZ8" s="16"/>
      <c r="DA8" s="12"/>
      <c r="DB8" s="12"/>
    </row>
    <row r="9" spans="1:106" ht="60" customHeight="1" x14ac:dyDescent="0.25">
      <c r="A9" s="112" t="s">
        <v>71</v>
      </c>
      <c r="B9" s="35">
        <v>1172</v>
      </c>
      <c r="C9" s="35">
        <f>B1</f>
        <v>25</v>
      </c>
      <c r="D9" s="36">
        <v>1</v>
      </c>
      <c r="E9" s="36">
        <v>41</v>
      </c>
      <c r="F9" s="35">
        <f>C9*D9*E9</f>
        <v>1025</v>
      </c>
      <c r="G9" s="5">
        <f>G$4*$F9</f>
        <v>307.5</v>
      </c>
      <c r="H9" s="91">
        <f t="shared" si="0"/>
        <v>5227.5</v>
      </c>
      <c r="I9" s="4">
        <f>I$4*$F9</f>
        <v>461.25</v>
      </c>
      <c r="J9" s="91">
        <f t="shared" si="1"/>
        <v>23062.5</v>
      </c>
      <c r="K9" s="4">
        <f>K$4*$F9</f>
        <v>153.75</v>
      </c>
      <c r="L9" s="91">
        <f t="shared" si="2"/>
        <v>8302.5</v>
      </c>
      <c r="M9" s="4">
        <f>M$4*$F9</f>
        <v>102.5</v>
      </c>
      <c r="N9" s="91">
        <f t="shared" si="3"/>
        <v>7892.5</v>
      </c>
      <c r="O9" s="92">
        <f t="shared" si="4"/>
        <v>44485</v>
      </c>
      <c r="P9" s="192"/>
      <c r="R9" s="108"/>
      <c r="X9" s="45"/>
      <c r="AG9" s="45"/>
      <c r="AH9" s="12"/>
      <c r="AJ9" s="95" t="s">
        <v>72</v>
      </c>
      <c r="AK9" s="113">
        <v>135375</v>
      </c>
      <c r="AL9" s="38">
        <f>ROUND(193479*AK9/541500,0)</f>
        <v>48370</v>
      </c>
      <c r="AM9" s="38">
        <f>SUM(AK9:AL9)</f>
        <v>183745</v>
      </c>
      <c r="AN9" s="38">
        <f>ROUNDUP(AM9*AK1*360/1650/505,0)</f>
        <v>6828</v>
      </c>
      <c r="AO9" s="38">
        <v>1</v>
      </c>
      <c r="AP9" s="61">
        <f>4/60</f>
        <v>6.6666666666666666E-2</v>
      </c>
      <c r="AQ9" s="97">
        <f>AN9*AO9*AP9</f>
        <v>455.2</v>
      </c>
      <c r="AR9" s="96">
        <f>AR$4*$AQ9</f>
        <v>136.56</v>
      </c>
      <c r="AS9" s="85">
        <f>AS$4*AR9</f>
        <v>2321.52</v>
      </c>
      <c r="AT9" s="97">
        <f>AT$4*$AQ9</f>
        <v>204.84</v>
      </c>
      <c r="AU9" s="85">
        <f>AU$4*AT9</f>
        <v>10242</v>
      </c>
      <c r="AV9" s="97">
        <f>AV$4*$AQ9</f>
        <v>68.28</v>
      </c>
      <c r="AW9" s="85">
        <f>AW$4*AV9</f>
        <v>3687.12</v>
      </c>
      <c r="AX9" s="97">
        <f>AX$4*$AQ9</f>
        <v>45.52</v>
      </c>
      <c r="AY9" s="85">
        <f>AY$4*AX9</f>
        <v>3505.0400000000004</v>
      </c>
      <c r="AZ9" s="98">
        <f>SUM(AS9,AU9,AW9,AY9)</f>
        <v>19755.68</v>
      </c>
      <c r="BA9" s="83"/>
      <c r="BC9" s="99" t="s">
        <v>73</v>
      </c>
      <c r="BD9" s="38">
        <v>5245</v>
      </c>
      <c r="BE9" s="38">
        <f>BD1</f>
        <v>3</v>
      </c>
      <c r="BF9" s="38">
        <v>1</v>
      </c>
      <c r="BG9">
        <v>4</v>
      </c>
      <c r="BH9" s="38">
        <f>BE9*BF9*BG9</f>
        <v>12</v>
      </c>
      <c r="BI9" s="37">
        <f>BI$4*$BH9</f>
        <v>3.5999999999999996</v>
      </c>
      <c r="BJ9" s="59">
        <f>BJ$4*BI9</f>
        <v>61.199999999999996</v>
      </c>
      <c r="BK9" s="58">
        <f>BK$4*$BH9</f>
        <v>5.4</v>
      </c>
      <c r="BL9" s="59">
        <f>BL$4*BK9</f>
        <v>270</v>
      </c>
      <c r="BM9" s="58">
        <f>BM$4*$BH9</f>
        <v>1.7999999999999998</v>
      </c>
      <c r="BN9" s="59">
        <f>BN$4*BM9</f>
        <v>97.199999999999989</v>
      </c>
      <c r="BO9" s="58">
        <f>BO$4*$BH9</f>
        <v>1.2000000000000002</v>
      </c>
      <c r="BP9" s="59">
        <f>BP$4*BO9</f>
        <v>92.40000000000002</v>
      </c>
      <c r="BQ9" s="60">
        <f>SUM(BJ9,BL9,BN9,BP9)</f>
        <v>520.79999999999995</v>
      </c>
      <c r="BR9" s="94"/>
      <c r="BT9" s="31" t="s">
        <v>75</v>
      </c>
      <c r="BU9" s="103"/>
      <c r="BV9" s="104"/>
      <c r="BW9" s="104"/>
      <c r="BX9" s="104"/>
      <c r="BY9" s="104"/>
      <c r="BZ9" s="104"/>
      <c r="CA9" s="104"/>
      <c r="CB9" s="104"/>
      <c r="CC9" s="104"/>
      <c r="CD9" s="104"/>
      <c r="CE9" s="58"/>
      <c r="CF9" s="105"/>
      <c r="CG9" s="87">
        <f>5/14</f>
        <v>0.35714285714285715</v>
      </c>
      <c r="CH9" s="88">
        <v>16.45</v>
      </c>
      <c r="CI9" s="84">
        <f>2/14</f>
        <v>0.14285714285714285</v>
      </c>
      <c r="CJ9" s="89">
        <v>36.07</v>
      </c>
      <c r="CK9" s="84">
        <f>7/14</f>
        <v>0.5</v>
      </c>
      <c r="CL9" s="89">
        <v>43.99</v>
      </c>
      <c r="CM9" s="106"/>
      <c r="CN9" s="106"/>
      <c r="CO9" s="189"/>
      <c r="CP9" s="106"/>
      <c r="CQ9" s="106"/>
      <c r="CT9" s="15"/>
      <c r="CU9" s="16"/>
      <c r="CV9" s="16"/>
      <c r="CW9" s="16"/>
      <c r="CX9" s="16"/>
      <c r="CY9" s="17"/>
      <c r="CZ9" s="16"/>
      <c r="DA9" s="12"/>
      <c r="DB9" s="12"/>
    </row>
    <row r="10" spans="1:106" ht="45" x14ac:dyDescent="0.25">
      <c r="A10" s="101" t="s">
        <v>74</v>
      </c>
      <c r="B10" s="36"/>
      <c r="C10" s="36"/>
      <c r="D10" s="36"/>
      <c r="E10" s="36"/>
      <c r="F10" s="36"/>
      <c r="G10" s="5"/>
      <c r="H10" s="91"/>
      <c r="I10" s="4"/>
      <c r="J10" s="91"/>
      <c r="K10" s="4"/>
      <c r="L10" s="91"/>
      <c r="M10" s="4"/>
      <c r="N10" s="91"/>
      <c r="O10" s="92"/>
      <c r="P10" s="192"/>
      <c r="R10" s="108"/>
      <c r="X10" s="45"/>
      <c r="AG10" s="45"/>
      <c r="AH10" s="12"/>
      <c r="AJ10" s="29"/>
      <c r="AK10" s="45"/>
      <c r="AR10" s="45"/>
      <c r="AZ10" s="45"/>
      <c r="BA10" s="12"/>
      <c r="BC10" s="47"/>
      <c r="BH10" s="12"/>
      <c r="BI10" s="45"/>
      <c r="BJ10" s="12"/>
      <c r="BK10" s="12"/>
      <c r="BL10" s="12"/>
      <c r="BM10" s="12"/>
      <c r="BN10" s="12"/>
      <c r="BO10" s="12"/>
      <c r="BP10" s="12"/>
      <c r="BQ10" s="45"/>
      <c r="BR10" s="12"/>
      <c r="BU10" s="110" t="s">
        <v>70</v>
      </c>
      <c r="BV10" s="38">
        <v>220356</v>
      </c>
      <c r="BW10" s="38">
        <v>20</v>
      </c>
      <c r="BX10" s="104">
        <f>BV10-BW10</f>
        <v>220336</v>
      </c>
      <c r="BY10" s="104">
        <f>ROUNDUP(BX10/2,0)+BW10</f>
        <v>110188</v>
      </c>
      <c r="BZ10" s="104">
        <f>BV10-BY10</f>
        <v>110168</v>
      </c>
      <c r="CA10" s="38">
        <v>1</v>
      </c>
      <c r="CB10" s="97">
        <v>14</v>
      </c>
      <c r="CC10" s="102">
        <f>CB10/3</f>
        <v>4.666666666666667</v>
      </c>
      <c r="CD10" s="188">
        <f>BW10*CA10*CC10</f>
        <v>93.333333333333343</v>
      </c>
      <c r="CE10" s="58">
        <f>BY10*CA10*CC10</f>
        <v>514210.66666666669</v>
      </c>
      <c r="CF10" s="178">
        <f>BZ10*CA10*CC10</f>
        <v>514117.33333333337</v>
      </c>
      <c r="CG10" s="39">
        <f>CG$9*$CF10</f>
        <v>183613.33333333334</v>
      </c>
      <c r="CH10" s="59">
        <f>CH9*CG10</f>
        <v>3020439.3333333335</v>
      </c>
      <c r="CI10" s="38">
        <f>CI$9*$CF10</f>
        <v>73445.333333333328</v>
      </c>
      <c r="CJ10" s="59">
        <f>CJ9*CI10</f>
        <v>2649173.1733333333</v>
      </c>
      <c r="CK10" s="38">
        <f>CK$9*$CF10</f>
        <v>257058.66666666669</v>
      </c>
      <c r="CL10" s="59">
        <f>CL9*CK10</f>
        <v>11308010.746666668</v>
      </c>
      <c r="CM10" s="59"/>
      <c r="CN10" s="59"/>
      <c r="CO10" s="111">
        <f>SUM(CH10,CJ10,CL10,CN10)</f>
        <v>16977623.253333334</v>
      </c>
      <c r="CP10"/>
      <c r="CT10" s="15"/>
      <c r="CU10" s="16"/>
      <c r="CV10" s="16"/>
      <c r="CW10" s="16"/>
      <c r="CX10" s="16"/>
      <c r="CY10" s="17"/>
      <c r="CZ10" s="16"/>
      <c r="DA10" s="12"/>
      <c r="DB10" s="12"/>
    </row>
    <row r="11" spans="1:106" ht="31.5" x14ac:dyDescent="0.25">
      <c r="A11" s="90" t="s">
        <v>76</v>
      </c>
      <c r="B11" s="35">
        <v>18173</v>
      </c>
      <c r="C11" s="35">
        <f>B1</f>
        <v>25</v>
      </c>
      <c r="D11" s="36">
        <v>12</v>
      </c>
      <c r="E11" s="36">
        <v>5</v>
      </c>
      <c r="F11" s="35">
        <f>C11*D11*E11</f>
        <v>1500</v>
      </c>
      <c r="G11" s="5">
        <f>G$4*$F11</f>
        <v>450</v>
      </c>
      <c r="H11" s="91">
        <f t="shared" si="0"/>
        <v>7650</v>
      </c>
      <c r="I11" s="4">
        <f>I$4*$F11</f>
        <v>675</v>
      </c>
      <c r="J11" s="91">
        <f t="shared" si="1"/>
        <v>33750</v>
      </c>
      <c r="K11" s="4">
        <f>K$4*$F11</f>
        <v>225</v>
      </c>
      <c r="L11" s="91">
        <f t="shared" si="2"/>
        <v>12150</v>
      </c>
      <c r="M11" s="4">
        <f>M$4*$F11</f>
        <v>150</v>
      </c>
      <c r="N11" s="91">
        <f t="shared" si="3"/>
        <v>11550</v>
      </c>
      <c r="O11" s="92">
        <f t="shared" si="4"/>
        <v>65100</v>
      </c>
      <c r="P11" s="192"/>
      <c r="R11" s="108"/>
      <c r="X11" s="45"/>
      <c r="AG11" s="45"/>
      <c r="AH11" s="12"/>
      <c r="AJ11" s="29"/>
      <c r="AK11" s="45"/>
      <c r="AR11" s="45"/>
      <c r="AZ11" s="45"/>
      <c r="BA11" s="12"/>
      <c r="BC11" s="47"/>
      <c r="BH11" s="12"/>
      <c r="BI11" s="45"/>
      <c r="BJ11" s="12"/>
      <c r="BK11" s="12"/>
      <c r="BL11" s="12"/>
      <c r="BM11" s="12"/>
      <c r="BN11" s="12"/>
      <c r="BO11" s="12"/>
      <c r="BP11" s="12"/>
      <c r="BQ11" s="45"/>
      <c r="BR11" s="94"/>
      <c r="BU11" s="110"/>
      <c r="BV11" s="38"/>
      <c r="BW11" s="38"/>
      <c r="BX11" s="38"/>
      <c r="BY11" s="178"/>
      <c r="BZ11" s="38"/>
      <c r="CA11" s="38"/>
      <c r="CB11" s="97"/>
      <c r="CC11" s="102"/>
      <c r="CD11" s="102"/>
      <c r="CE11" s="38"/>
      <c r="CF11" s="38"/>
      <c r="CG11" s="114">
        <v>0</v>
      </c>
      <c r="CH11" s="88">
        <v>16.45</v>
      </c>
      <c r="CI11" s="115">
        <f>3/14</f>
        <v>0.21428571428571427</v>
      </c>
      <c r="CJ11" s="89">
        <v>36.07</v>
      </c>
      <c r="CK11" s="115">
        <f>11/14</f>
        <v>0.7857142857142857</v>
      </c>
      <c r="CL11" s="89">
        <v>43.99</v>
      </c>
      <c r="CM11" s="89"/>
      <c r="CN11" s="89"/>
      <c r="CO11" s="63"/>
      <c r="CP11"/>
      <c r="CT11" s="15"/>
      <c r="CU11" s="16"/>
      <c r="CV11" s="16"/>
      <c r="CW11" s="16"/>
      <c r="CX11" s="16"/>
      <c r="CY11" s="17"/>
      <c r="CZ11" s="16"/>
      <c r="DA11" s="12"/>
      <c r="DB11" s="12"/>
    </row>
    <row r="12" spans="1:106" ht="31.5" x14ac:dyDescent="0.25">
      <c r="A12" s="101" t="s">
        <v>78</v>
      </c>
      <c r="B12" s="36"/>
      <c r="C12" s="36"/>
      <c r="D12" s="36"/>
      <c r="E12" s="36"/>
      <c r="F12" s="36"/>
      <c r="G12" s="5"/>
      <c r="H12" s="91"/>
      <c r="I12" s="4"/>
      <c r="J12" s="91"/>
      <c r="K12" s="4"/>
      <c r="L12" s="91"/>
      <c r="M12" s="4"/>
      <c r="N12" s="91"/>
      <c r="O12" s="92"/>
      <c r="P12" s="192"/>
      <c r="R12" s="108"/>
      <c r="X12" s="45"/>
      <c r="AG12" s="45"/>
      <c r="AH12" s="12"/>
      <c r="AJ12" s="29"/>
      <c r="AK12" s="45"/>
      <c r="AR12" s="45"/>
      <c r="AZ12" s="45"/>
      <c r="BA12" s="12"/>
      <c r="BC12" s="47"/>
      <c r="BH12" s="12"/>
      <c r="BI12" s="45"/>
      <c r="BJ12" s="12"/>
      <c r="BK12" s="12"/>
      <c r="BL12" s="12"/>
      <c r="BM12" s="12"/>
      <c r="BN12" s="12"/>
      <c r="BO12" s="12"/>
      <c r="BP12" s="12"/>
      <c r="BQ12" s="45"/>
      <c r="BR12" s="94"/>
      <c r="BU12" s="110" t="s">
        <v>77</v>
      </c>
      <c r="BV12" s="38">
        <v>3350</v>
      </c>
      <c r="BW12" s="38">
        <v>1838</v>
      </c>
      <c r="BX12" s="104">
        <f>BV12-BW12</f>
        <v>1512</v>
      </c>
      <c r="BY12" s="104">
        <f>ROUNDUP(BX12/2,0)+BW12</f>
        <v>2594</v>
      </c>
      <c r="BZ12" s="104">
        <f>BV12-BY12</f>
        <v>756</v>
      </c>
      <c r="CA12" s="38">
        <v>1</v>
      </c>
      <c r="CB12" s="97">
        <v>14</v>
      </c>
      <c r="CC12" s="102">
        <f>CB12/3</f>
        <v>4.666666666666667</v>
      </c>
      <c r="CD12" s="188">
        <f>BW12*CA12*CC12</f>
        <v>8577.3333333333339</v>
      </c>
      <c r="CE12" s="58">
        <f>BY12*CA12*CC12</f>
        <v>12105.333333333334</v>
      </c>
      <c r="CF12" s="178">
        <f>BZ12*CA12*CC12</f>
        <v>3528</v>
      </c>
      <c r="CG12" s="116">
        <f>CG$11*$CF12</f>
        <v>0</v>
      </c>
      <c r="CH12" s="59">
        <f>CH11*CG12</f>
        <v>0</v>
      </c>
      <c r="CI12" s="38">
        <f>CI$11*$CF12</f>
        <v>756</v>
      </c>
      <c r="CJ12" s="59">
        <f>CJ11*CI12</f>
        <v>27268.920000000002</v>
      </c>
      <c r="CK12" s="56">
        <f>CK$11*$CF12</f>
        <v>2772</v>
      </c>
      <c r="CL12" s="59">
        <f>CL11*CK12</f>
        <v>121940.28</v>
      </c>
      <c r="CM12" s="59"/>
      <c r="CN12" s="59"/>
      <c r="CO12" s="111">
        <f>SUM(CH12,CJ12,CL12,CN12)</f>
        <v>149209.20000000001</v>
      </c>
      <c r="CP12"/>
      <c r="CT12" s="15"/>
      <c r="CU12" s="16"/>
      <c r="CV12" s="16"/>
      <c r="CW12" s="16"/>
      <c r="CX12" s="16"/>
      <c r="CY12" s="17"/>
      <c r="CZ12" s="16"/>
      <c r="DA12" s="12"/>
      <c r="DB12" s="12"/>
    </row>
    <row r="13" spans="1:106" ht="15.75" x14ac:dyDescent="0.25">
      <c r="A13" s="90" t="s">
        <v>79</v>
      </c>
      <c r="B13" s="35">
        <v>1172</v>
      </c>
      <c r="C13" s="35">
        <f>B1</f>
        <v>25</v>
      </c>
      <c r="D13" s="36">
        <v>1</v>
      </c>
      <c r="E13" s="36">
        <v>40</v>
      </c>
      <c r="F13" s="35">
        <f>C13*D13*E13</f>
        <v>1000</v>
      </c>
      <c r="G13" s="5">
        <f>G$4*$F13</f>
        <v>300</v>
      </c>
      <c r="H13" s="91">
        <f t="shared" si="0"/>
        <v>5100</v>
      </c>
      <c r="I13" s="4">
        <f>I$4*$F13</f>
        <v>450</v>
      </c>
      <c r="J13" s="91">
        <f t="shared" si="1"/>
        <v>22500</v>
      </c>
      <c r="K13" s="4">
        <f>K$4*$F13</f>
        <v>150</v>
      </c>
      <c r="L13" s="91">
        <f t="shared" si="2"/>
        <v>8100</v>
      </c>
      <c r="M13" s="4">
        <f>M$4*$F13</f>
        <v>100</v>
      </c>
      <c r="N13" s="91">
        <f t="shared" si="3"/>
        <v>7700</v>
      </c>
      <c r="O13" s="92">
        <f t="shared" si="4"/>
        <v>43400</v>
      </c>
      <c r="P13" s="192"/>
      <c r="R13" s="108"/>
      <c r="X13" s="45"/>
      <c r="AG13" s="45"/>
      <c r="AH13" s="12"/>
      <c r="AJ13" s="29"/>
      <c r="AK13" s="45"/>
      <c r="AR13" s="45"/>
      <c r="AZ13" s="45"/>
      <c r="BA13" s="12"/>
      <c r="BC13" s="47"/>
      <c r="BH13" s="12"/>
      <c r="BI13" s="45"/>
      <c r="BJ13" s="12"/>
      <c r="BK13" s="12"/>
      <c r="BL13" s="12"/>
      <c r="BM13" s="12"/>
      <c r="BN13" s="12"/>
      <c r="BO13" s="12"/>
      <c r="BP13" s="12"/>
      <c r="BQ13" s="45"/>
      <c r="BR13" s="94"/>
      <c r="BU13" s="103"/>
      <c r="CG13" s="45"/>
      <c r="CO13" s="63"/>
      <c r="CP13"/>
      <c r="CT13" s="15"/>
      <c r="CU13" s="16"/>
      <c r="CV13" s="16"/>
      <c r="CW13" s="16"/>
      <c r="CX13" s="16"/>
      <c r="CY13" s="17"/>
      <c r="CZ13" s="16"/>
      <c r="DA13" s="12"/>
      <c r="DB13" s="12"/>
    </row>
    <row r="14" spans="1:106" ht="15.75" x14ac:dyDescent="0.25">
      <c r="A14" s="90" t="s">
        <v>82</v>
      </c>
      <c r="B14" s="35">
        <v>611966</v>
      </c>
      <c r="C14" s="35">
        <f>ROUNDUP(B14*B1/B13,0)</f>
        <v>13054</v>
      </c>
      <c r="D14" s="36">
        <v>1</v>
      </c>
      <c r="E14" s="117">
        <f>14/60</f>
        <v>0.23333333333333334</v>
      </c>
      <c r="F14" s="35">
        <f>C14*D14*E14</f>
        <v>3045.9333333333334</v>
      </c>
      <c r="G14" s="5">
        <f>G$4*$F14</f>
        <v>913.78</v>
      </c>
      <c r="H14" s="91">
        <f t="shared" si="0"/>
        <v>15534.26</v>
      </c>
      <c r="I14" s="4">
        <f>I$4*$F14</f>
        <v>1370.67</v>
      </c>
      <c r="J14" s="91">
        <f t="shared" si="1"/>
        <v>68533.5</v>
      </c>
      <c r="K14" s="4">
        <f>K$4*$F14</f>
        <v>456.89</v>
      </c>
      <c r="L14" s="91">
        <f t="shared" si="2"/>
        <v>24672.059999999998</v>
      </c>
      <c r="M14" s="4">
        <f>M$4*$F14</f>
        <v>304.59333333333336</v>
      </c>
      <c r="N14" s="91">
        <f t="shared" si="3"/>
        <v>23453.686666666668</v>
      </c>
      <c r="O14" s="92">
        <f>SUM(H14,J14,L14,N14)</f>
        <v>132193.50666666665</v>
      </c>
      <c r="P14" s="192"/>
      <c r="R14" s="108"/>
      <c r="X14" s="45"/>
      <c r="AG14" s="45"/>
      <c r="AH14" s="12"/>
      <c r="AJ14" s="29"/>
      <c r="AK14" s="45"/>
      <c r="AR14" s="45"/>
      <c r="AZ14" s="45"/>
      <c r="BA14" s="12"/>
      <c r="BC14" s="47"/>
      <c r="BH14" s="12"/>
      <c r="BI14" s="45"/>
      <c r="BJ14" s="12"/>
      <c r="BK14" s="12"/>
      <c r="BL14" s="12"/>
      <c r="BM14" s="12"/>
      <c r="BN14" s="12"/>
      <c r="BO14" s="12"/>
      <c r="BP14" s="12"/>
      <c r="BQ14" s="45"/>
      <c r="BR14" s="94"/>
      <c r="BT14" s="31" t="s">
        <v>80</v>
      </c>
      <c r="BU14" s="103"/>
      <c r="BV14" t="s">
        <v>38</v>
      </c>
      <c r="CG14" s="45"/>
      <c r="CM14" s="115">
        <v>1</v>
      </c>
      <c r="CN14" s="85">
        <v>250</v>
      </c>
      <c r="CO14" s="111"/>
      <c r="CP14"/>
      <c r="CT14" s="15"/>
      <c r="CU14" s="16"/>
      <c r="CV14" s="16"/>
      <c r="CW14" s="16"/>
      <c r="CX14" s="16"/>
      <c r="CY14" s="17"/>
      <c r="CZ14" s="16"/>
      <c r="DA14" s="12"/>
      <c r="DB14" s="12"/>
    </row>
    <row r="15" spans="1:106" ht="30" x14ac:dyDescent="0.25">
      <c r="A15" s="90"/>
      <c r="B15" s="35"/>
      <c r="C15" s="35"/>
      <c r="D15" s="36"/>
      <c r="E15" s="117"/>
      <c r="F15" s="35"/>
      <c r="G15" s="5"/>
      <c r="H15" s="91"/>
      <c r="I15" s="4"/>
      <c r="J15" s="91"/>
      <c r="K15" s="4"/>
      <c r="L15" s="91"/>
      <c r="M15" s="4"/>
      <c r="N15" s="91"/>
      <c r="O15" s="92"/>
      <c r="P15" s="192"/>
      <c r="R15" s="108"/>
      <c r="X15" s="45"/>
      <c r="AG15" s="45"/>
      <c r="AH15" s="12"/>
      <c r="AJ15" s="29"/>
      <c r="AK15" s="45"/>
      <c r="AR15" s="45"/>
      <c r="AZ15" s="45"/>
      <c r="BA15" s="12"/>
      <c r="BC15" s="47"/>
      <c r="BH15" s="12"/>
      <c r="BI15" s="45"/>
      <c r="BJ15" s="12"/>
      <c r="BK15" s="12"/>
      <c r="BL15" s="12"/>
      <c r="BM15" s="12"/>
      <c r="BN15" s="12"/>
      <c r="BO15" s="12"/>
      <c r="BP15" s="12"/>
      <c r="BQ15" s="45"/>
      <c r="BU15" s="110" t="s">
        <v>83</v>
      </c>
      <c r="BV15">
        <v>750</v>
      </c>
      <c r="BW15">
        <f>ROUNDUP(0.3*BV15,0)</f>
        <v>225</v>
      </c>
      <c r="BX15" s="104">
        <f>BV15-BW15</f>
        <v>525</v>
      </c>
      <c r="BY15" s="104">
        <f>ROUNDUP(BX15/2,0)+BW15</f>
        <v>488</v>
      </c>
      <c r="BZ15" s="104">
        <f>BV15-BY15</f>
        <v>262</v>
      </c>
      <c r="CA15">
        <v>1</v>
      </c>
      <c r="CB15">
        <v>2</v>
      </c>
      <c r="CC15" s="118">
        <f>CB15</f>
        <v>2</v>
      </c>
      <c r="CD15" s="188">
        <f>BW15*CA15*CC15</f>
        <v>450</v>
      </c>
      <c r="CE15" s="58">
        <f>BY15*CA15*CC15</f>
        <v>976</v>
      </c>
      <c r="CF15" s="178">
        <f>BZ15*CA15*CC15</f>
        <v>524</v>
      </c>
      <c r="CG15" s="45"/>
      <c r="CM15" s="58">
        <f>CM14*$CF15</f>
        <v>524</v>
      </c>
      <c r="CN15" s="59">
        <f>CN14*CM15</f>
        <v>131000</v>
      </c>
      <c r="CO15" s="111">
        <f>SUM(CH15,CJ15,CL15,CN15)</f>
        <v>131000</v>
      </c>
      <c r="CP15"/>
      <c r="CT15" s="15"/>
      <c r="CU15" s="16"/>
      <c r="CV15" s="16"/>
      <c r="CW15" s="16"/>
      <c r="CX15" s="16"/>
      <c r="CY15" s="17"/>
      <c r="CZ15" s="16"/>
      <c r="DA15" s="12"/>
      <c r="DB15" s="12"/>
    </row>
    <row r="16" spans="1:106" ht="15.75" x14ac:dyDescent="0.25">
      <c r="A16" s="90"/>
      <c r="B16" s="35"/>
      <c r="C16" s="35"/>
      <c r="D16" s="36"/>
      <c r="E16" s="117"/>
      <c r="F16" s="35"/>
      <c r="G16" s="5"/>
      <c r="H16" s="91"/>
      <c r="I16" s="4"/>
      <c r="J16" s="91"/>
      <c r="K16" s="4"/>
      <c r="L16" s="91"/>
      <c r="M16" s="4"/>
      <c r="N16" s="91"/>
      <c r="O16" s="92"/>
      <c r="P16" s="192"/>
      <c r="R16" s="108"/>
      <c r="X16" s="45"/>
      <c r="AG16" s="45"/>
      <c r="AH16" s="12"/>
      <c r="AJ16" s="29"/>
      <c r="AK16" s="45"/>
      <c r="AR16" s="45"/>
      <c r="AZ16" s="45"/>
      <c r="BA16" s="12"/>
      <c r="BC16" s="47"/>
      <c r="BH16" s="12"/>
      <c r="BI16" s="45"/>
      <c r="BJ16" s="12"/>
      <c r="BK16" s="12"/>
      <c r="BL16" s="12"/>
      <c r="BM16" s="12"/>
      <c r="BN16" s="12"/>
      <c r="BO16" s="12"/>
      <c r="BP16" s="12"/>
      <c r="BQ16" s="45"/>
      <c r="BU16" s="110"/>
      <c r="CC16" s="118"/>
      <c r="CD16" s="118"/>
      <c r="CE16" s="38"/>
      <c r="CF16" s="38"/>
      <c r="CG16" s="45"/>
      <c r="CM16" s="58"/>
      <c r="CN16" s="59"/>
      <c r="CO16" s="63"/>
      <c r="CP16"/>
      <c r="CT16" s="15"/>
      <c r="CU16" s="16"/>
      <c r="CV16" s="16"/>
      <c r="CW16" s="16"/>
      <c r="CX16" s="16"/>
      <c r="CY16" s="17"/>
      <c r="CZ16" s="16"/>
      <c r="DA16" s="12"/>
      <c r="DB16" s="12"/>
    </row>
    <row r="17" spans="1:106" ht="15.75" x14ac:dyDescent="0.25">
      <c r="A17" s="90"/>
      <c r="B17" s="35"/>
      <c r="C17" s="35"/>
      <c r="D17" s="36"/>
      <c r="E17" s="117"/>
      <c r="F17" s="35"/>
      <c r="G17" s="5"/>
      <c r="H17" s="91"/>
      <c r="I17" s="4"/>
      <c r="J17" s="91"/>
      <c r="K17" s="4"/>
      <c r="L17" s="91"/>
      <c r="M17" s="4"/>
      <c r="N17" s="91"/>
      <c r="O17" s="92"/>
      <c r="P17" s="192"/>
      <c r="R17" s="108"/>
      <c r="X17" s="45"/>
      <c r="AG17" s="45"/>
      <c r="AH17" s="12"/>
      <c r="AJ17" s="29"/>
      <c r="AK17" s="45"/>
      <c r="AR17" s="45"/>
      <c r="AZ17" s="45"/>
      <c r="BA17" s="12"/>
      <c r="BC17" s="47"/>
      <c r="BH17" s="12"/>
      <c r="BI17" s="45"/>
      <c r="BJ17" s="12"/>
      <c r="BK17" s="12"/>
      <c r="BL17" s="12"/>
      <c r="BM17" s="12"/>
      <c r="BN17" s="12"/>
      <c r="BO17" s="12"/>
      <c r="BP17" s="12"/>
      <c r="BQ17" s="45"/>
      <c r="BT17" s="31" t="s">
        <v>86</v>
      </c>
      <c r="BU17" s="103"/>
      <c r="BV17" t="s">
        <v>38</v>
      </c>
      <c r="CG17" s="45"/>
      <c r="CK17" s="115">
        <v>1</v>
      </c>
      <c r="CL17" s="59">
        <v>41</v>
      </c>
      <c r="CO17" s="111"/>
      <c r="CP17"/>
      <c r="CT17" s="15"/>
      <c r="CU17" s="16"/>
      <c r="CV17" s="16"/>
      <c r="CW17" s="16"/>
      <c r="CX17" s="16"/>
      <c r="CY17" s="17"/>
      <c r="CZ17" s="16"/>
      <c r="DA17" s="12"/>
      <c r="DB17" s="12"/>
    </row>
    <row r="18" spans="1:106" ht="60" x14ac:dyDescent="0.25">
      <c r="A18" s="90"/>
      <c r="B18" s="35"/>
      <c r="C18" s="35"/>
      <c r="D18" s="36"/>
      <c r="E18" s="117"/>
      <c r="F18" s="35"/>
      <c r="G18" s="5"/>
      <c r="H18" s="91"/>
      <c r="I18" s="4"/>
      <c r="J18" s="91"/>
      <c r="K18" s="4"/>
      <c r="L18" s="91"/>
      <c r="M18" s="4"/>
      <c r="N18" s="91"/>
      <c r="O18" s="92"/>
      <c r="P18" s="192"/>
      <c r="R18" s="108"/>
      <c r="X18" s="45"/>
      <c r="AG18" s="45"/>
      <c r="AH18" s="12"/>
      <c r="AJ18" s="29"/>
      <c r="AK18" s="45"/>
      <c r="AR18" s="45"/>
      <c r="AZ18" s="45"/>
      <c r="BA18" s="12"/>
      <c r="BC18" s="47"/>
      <c r="BH18" s="12"/>
      <c r="BI18" s="45"/>
      <c r="BJ18" s="12"/>
      <c r="BK18" s="12"/>
      <c r="BL18" s="12"/>
      <c r="BM18" s="12"/>
      <c r="BN18" s="12"/>
      <c r="BO18" s="12"/>
      <c r="BP18" s="12"/>
      <c r="BQ18" s="45"/>
      <c r="BU18" s="110" t="s">
        <v>87</v>
      </c>
      <c r="BV18" s="38">
        <v>6133</v>
      </c>
      <c r="BW18" s="178">
        <f>ROUNDUP(0.3*BV18,0)</f>
        <v>1840</v>
      </c>
      <c r="BX18" s="104">
        <f>BV18-BW18</f>
        <v>4293</v>
      </c>
      <c r="BY18" s="104">
        <f>ROUNDDOWN(BX18/2,0)+BW18</f>
        <v>3986</v>
      </c>
      <c r="BZ18" s="104">
        <f>BV18-BY18</f>
        <v>2147</v>
      </c>
      <c r="CA18" s="38">
        <v>1</v>
      </c>
      <c r="CB18">
        <v>24</v>
      </c>
      <c r="CC18" s="102">
        <f>CB18/3</f>
        <v>8</v>
      </c>
      <c r="CD18" s="188">
        <f>BW18*CA18*CC18</f>
        <v>14720</v>
      </c>
      <c r="CE18" s="58">
        <f>BY18*CA18*CC18</f>
        <v>31888</v>
      </c>
      <c r="CF18" s="178">
        <f>BZ18*CA18*CC18</f>
        <v>17176</v>
      </c>
      <c r="CG18" s="45"/>
      <c r="CK18" s="58">
        <f>CK$17*$CF18</f>
        <v>17176</v>
      </c>
      <c r="CL18" s="59">
        <f>CL$17*CK18</f>
        <v>704216</v>
      </c>
      <c r="CO18" s="111">
        <f>SUM(CH18,CJ18,CL18,CN18)</f>
        <v>704216</v>
      </c>
      <c r="CP18"/>
      <c r="CT18" s="15"/>
      <c r="CU18" s="16"/>
      <c r="CV18" s="16"/>
      <c r="CW18" s="16"/>
      <c r="CX18" s="16"/>
      <c r="CY18" s="17"/>
      <c r="CZ18" s="16"/>
      <c r="DA18" s="12"/>
      <c r="DB18" s="12"/>
    </row>
    <row r="19" spans="1:106" ht="60" x14ac:dyDescent="0.25">
      <c r="A19" s="90"/>
      <c r="B19" s="35"/>
      <c r="C19" s="35"/>
      <c r="D19" s="36"/>
      <c r="E19" s="117"/>
      <c r="F19" s="35"/>
      <c r="G19" s="5"/>
      <c r="H19" s="91"/>
      <c r="I19" s="4"/>
      <c r="J19" s="91"/>
      <c r="K19" s="4"/>
      <c r="L19" s="91"/>
      <c r="M19" s="4"/>
      <c r="N19" s="91"/>
      <c r="O19" s="92"/>
      <c r="P19" s="192"/>
      <c r="R19" s="108"/>
      <c r="X19" s="45"/>
      <c r="AG19" s="45"/>
      <c r="AH19" s="12"/>
      <c r="AJ19" s="29"/>
      <c r="AK19" s="45"/>
      <c r="AR19" s="45"/>
      <c r="AZ19" s="45"/>
      <c r="BA19" s="12"/>
      <c r="BC19" s="47"/>
      <c r="BH19" s="12"/>
      <c r="BI19" s="45"/>
      <c r="BJ19" s="12"/>
      <c r="BK19" s="12"/>
      <c r="BL19" s="12"/>
      <c r="BM19" s="12"/>
      <c r="BN19" s="12"/>
      <c r="BO19" s="12"/>
      <c r="BP19" s="12"/>
      <c r="BQ19" s="45"/>
      <c r="BU19" s="110" t="s">
        <v>88</v>
      </c>
      <c r="BV19" s="38">
        <v>6133</v>
      </c>
      <c r="BW19" s="178">
        <f>ROUNDUP(0.3*BV19,0)</f>
        <v>1840</v>
      </c>
      <c r="BX19" s="104">
        <f>BV19-BW19</f>
        <v>4293</v>
      </c>
      <c r="BY19" s="104">
        <f>ROUNDDOWN(BX19/2,0)+BW19</f>
        <v>3986</v>
      </c>
      <c r="BZ19" s="104">
        <f>BV19-BY19</f>
        <v>2147</v>
      </c>
      <c r="CA19" s="38">
        <v>1</v>
      </c>
      <c r="CB19">
        <v>4</v>
      </c>
      <c r="CC19" s="102">
        <f>CB19/3</f>
        <v>1.3333333333333333</v>
      </c>
      <c r="CD19" s="188">
        <f>BW19*CA19*CC19</f>
        <v>2453.333333333333</v>
      </c>
      <c r="CE19" s="58">
        <f>BY19*CA19*CC19</f>
        <v>5314.6666666666661</v>
      </c>
      <c r="CF19" s="178">
        <f>BZ19*CA19*CC19</f>
        <v>2862.6666666666665</v>
      </c>
      <c r="CG19" s="45"/>
      <c r="CK19" s="58">
        <f>CK$17*$CF19</f>
        <v>2862.6666666666665</v>
      </c>
      <c r="CL19" s="59">
        <f>CL$17*CK19</f>
        <v>117369.33333333333</v>
      </c>
      <c r="CO19" s="111">
        <f>SUM(CH19,CJ19,CL19,CN19)</f>
        <v>117369.33333333333</v>
      </c>
      <c r="CP19" s="76"/>
      <c r="CT19" s="15"/>
      <c r="CU19" s="16"/>
      <c r="CV19" s="16"/>
      <c r="CW19" s="16"/>
      <c r="CX19" s="16"/>
      <c r="CY19" s="17"/>
      <c r="CZ19" s="16"/>
      <c r="DA19" s="12"/>
      <c r="DB19" s="12"/>
    </row>
    <row r="20" spans="1:106" ht="60" x14ac:dyDescent="0.25">
      <c r="A20" s="90"/>
      <c r="B20" s="35"/>
      <c r="C20" s="35"/>
      <c r="D20" s="36"/>
      <c r="E20" s="117"/>
      <c r="F20" s="35"/>
      <c r="G20" s="5"/>
      <c r="H20" s="91"/>
      <c r="I20" s="4"/>
      <c r="J20" s="91"/>
      <c r="K20" s="4"/>
      <c r="L20" s="91"/>
      <c r="M20" s="4"/>
      <c r="N20" s="91"/>
      <c r="O20" s="92"/>
      <c r="P20" s="192"/>
      <c r="R20" s="108"/>
      <c r="X20" s="45"/>
      <c r="AG20" s="45"/>
      <c r="AH20" s="12"/>
      <c r="AJ20" s="29"/>
      <c r="AK20" s="45"/>
      <c r="AR20" s="45"/>
      <c r="AZ20" s="45"/>
      <c r="BA20" s="12"/>
      <c r="BC20" s="47"/>
      <c r="BH20" s="12"/>
      <c r="BI20" s="45"/>
      <c r="BJ20" s="12"/>
      <c r="BK20" s="12"/>
      <c r="BL20" s="12"/>
      <c r="BM20" s="12"/>
      <c r="BN20" s="12"/>
      <c r="BO20" s="12"/>
      <c r="BP20" s="12"/>
      <c r="BQ20" s="45"/>
      <c r="BU20" s="110" t="s">
        <v>89</v>
      </c>
      <c r="BV20" s="38">
        <v>6133</v>
      </c>
      <c r="BW20" s="178">
        <f>ROUNDUP(0.3*BV20,0)</f>
        <v>1840</v>
      </c>
      <c r="BX20" s="104">
        <f>BV20-BW20</f>
        <v>4293</v>
      </c>
      <c r="BY20" s="104">
        <f>ROUNDDOWN(BX20/2,0)+BW20</f>
        <v>3986</v>
      </c>
      <c r="BZ20" s="104">
        <f>BV20-BY20</f>
        <v>2147</v>
      </c>
      <c r="CA20" s="38">
        <v>1</v>
      </c>
      <c r="CB20">
        <v>8</v>
      </c>
      <c r="CC20" s="102">
        <f>CB20/3</f>
        <v>2.6666666666666665</v>
      </c>
      <c r="CD20" s="188">
        <f>BW20*CA20*CC20</f>
        <v>4906.6666666666661</v>
      </c>
      <c r="CE20" s="58">
        <f>BY20*CA20*CC20</f>
        <v>10629.333333333332</v>
      </c>
      <c r="CF20" s="178">
        <f>BZ20*CA20*CC20</f>
        <v>5725.333333333333</v>
      </c>
      <c r="CG20" s="45"/>
      <c r="CK20" s="58">
        <f>CK$17*$CF20</f>
        <v>5725.333333333333</v>
      </c>
      <c r="CL20" s="59">
        <f>CL$17*CK20</f>
        <v>234738.66666666666</v>
      </c>
      <c r="CO20" s="111">
        <f>SUM(CH20,CJ20,CL20,CN20)</f>
        <v>234738.66666666666</v>
      </c>
      <c r="CP20"/>
      <c r="CT20" s="15"/>
      <c r="CU20" s="16"/>
      <c r="CV20" s="16"/>
      <c r="CW20" s="16"/>
      <c r="CX20" s="16"/>
      <c r="CY20" s="17"/>
      <c r="CZ20" s="16"/>
      <c r="DA20" s="12"/>
      <c r="DB20" s="12"/>
    </row>
    <row r="21" spans="1:106" ht="45" x14ac:dyDescent="0.25">
      <c r="A21" s="90"/>
      <c r="B21" s="35"/>
      <c r="C21" s="35"/>
      <c r="D21" s="36"/>
      <c r="E21" s="117"/>
      <c r="F21" s="35"/>
      <c r="G21" s="5"/>
      <c r="H21" s="91"/>
      <c r="I21" s="4"/>
      <c r="J21" s="91"/>
      <c r="K21" s="4"/>
      <c r="L21" s="91"/>
      <c r="M21" s="4"/>
      <c r="N21" s="91"/>
      <c r="O21" s="92"/>
      <c r="P21" s="192"/>
      <c r="R21" s="108"/>
      <c r="X21" s="45"/>
      <c r="AG21" s="45"/>
      <c r="AH21" s="12"/>
      <c r="AJ21" s="29"/>
      <c r="AK21" s="45"/>
      <c r="AR21" s="45"/>
      <c r="AZ21" s="45"/>
      <c r="BA21" s="12"/>
      <c r="BC21" s="47"/>
      <c r="BH21" s="12"/>
      <c r="BI21" s="45"/>
      <c r="BJ21" s="12"/>
      <c r="BK21" s="12"/>
      <c r="BL21" s="12"/>
      <c r="BM21" s="12"/>
      <c r="BN21" s="12"/>
      <c r="BO21" s="12"/>
      <c r="BP21" s="12"/>
      <c r="BQ21" s="45"/>
      <c r="BU21" s="110" t="s">
        <v>90</v>
      </c>
      <c r="BV21" s="38">
        <v>6133</v>
      </c>
      <c r="BW21" s="178">
        <f>ROUNDUP(0.3*BV21,0)</f>
        <v>1840</v>
      </c>
      <c r="BX21" s="104">
        <f>BV21-BW21</f>
        <v>4293</v>
      </c>
      <c r="BY21" s="104">
        <f>ROUNDDOWN(BX21/2,0)+BW21</f>
        <v>3986</v>
      </c>
      <c r="BZ21" s="104">
        <f>BV21-BY21</f>
        <v>2147</v>
      </c>
      <c r="CA21" s="38">
        <v>1</v>
      </c>
      <c r="CB21">
        <v>8</v>
      </c>
      <c r="CC21" s="102">
        <f>CB21/3</f>
        <v>2.6666666666666665</v>
      </c>
      <c r="CD21" s="188">
        <f>BW21*CA21*CC21</f>
        <v>4906.6666666666661</v>
      </c>
      <c r="CE21" s="58">
        <f>BY21*CA21*CC21</f>
        <v>10629.333333333332</v>
      </c>
      <c r="CF21" s="178">
        <f>BZ21*CA21*CC21</f>
        <v>5725.333333333333</v>
      </c>
      <c r="CG21" s="45"/>
      <c r="CK21" s="58">
        <f>CK$17*$CF21</f>
        <v>5725.333333333333</v>
      </c>
      <c r="CL21" s="59">
        <f>CL$17*CK21</f>
        <v>234738.66666666666</v>
      </c>
      <c r="CO21" s="111">
        <f>SUM(CH21,CJ21,CL21,CN21)</f>
        <v>234738.66666666666</v>
      </c>
      <c r="CP21"/>
      <c r="CT21" s="15"/>
      <c r="CU21" s="16"/>
      <c r="CV21" s="16"/>
      <c r="CW21" s="16"/>
      <c r="CX21" s="16"/>
      <c r="CY21" s="17"/>
      <c r="CZ21" s="16"/>
      <c r="DA21" s="12"/>
      <c r="DB21" s="12"/>
    </row>
    <row r="22" spans="1:106" ht="15.75" x14ac:dyDescent="0.25">
      <c r="A22" s="90"/>
      <c r="B22" s="35"/>
      <c r="C22" s="35"/>
      <c r="D22" s="36"/>
      <c r="E22" s="117"/>
      <c r="F22" s="35"/>
      <c r="G22" s="5"/>
      <c r="H22" s="91"/>
      <c r="I22" s="4"/>
      <c r="J22" s="91"/>
      <c r="K22" s="4"/>
      <c r="L22" s="91"/>
      <c r="M22" s="4"/>
      <c r="N22" s="91"/>
      <c r="O22" s="92"/>
      <c r="P22" s="192"/>
      <c r="R22" s="108"/>
      <c r="X22" s="45"/>
      <c r="AG22" s="45"/>
      <c r="AH22" s="12"/>
      <c r="AJ22" s="29"/>
      <c r="AK22" s="45"/>
      <c r="AR22" s="45"/>
      <c r="AZ22" s="45"/>
      <c r="BA22" s="12"/>
      <c r="BC22" s="47"/>
      <c r="BH22" s="12"/>
      <c r="BI22" s="45"/>
      <c r="BJ22" s="12"/>
      <c r="BK22" s="12"/>
      <c r="BL22" s="12"/>
      <c r="BM22" s="12"/>
      <c r="BN22" s="12"/>
      <c r="BO22" s="12"/>
      <c r="BP22" s="12"/>
      <c r="BQ22" s="45"/>
      <c r="BU22" s="110"/>
      <c r="BV22" s="38"/>
      <c r="BW22" s="38"/>
      <c r="BX22" s="38"/>
      <c r="BY22" s="178"/>
      <c r="BZ22" s="38"/>
      <c r="CA22" s="38"/>
      <c r="CC22" s="102"/>
      <c r="CD22" s="102"/>
      <c r="CE22" s="58"/>
      <c r="CF22" s="38"/>
      <c r="CG22" s="114">
        <v>1</v>
      </c>
      <c r="CH22" s="120">
        <v>18.5</v>
      </c>
      <c r="CK22" s="58"/>
      <c r="CL22" s="59"/>
      <c r="CO22" s="111"/>
      <c r="CP22"/>
      <c r="CT22" s="15"/>
      <c r="CU22" s="16"/>
      <c r="CV22" s="16"/>
      <c r="CW22" s="16"/>
      <c r="CX22" s="16"/>
      <c r="CY22" s="17"/>
      <c r="CZ22" s="16"/>
      <c r="DA22" s="12"/>
      <c r="DB22" s="12"/>
    </row>
    <row r="23" spans="1:106" ht="45" x14ac:dyDescent="0.25">
      <c r="A23" s="90"/>
      <c r="B23" s="35"/>
      <c r="C23" s="35"/>
      <c r="D23" s="207"/>
      <c r="E23" s="117"/>
      <c r="F23" s="35"/>
      <c r="G23" s="5"/>
      <c r="H23" s="91"/>
      <c r="I23" s="4"/>
      <c r="J23" s="91"/>
      <c r="K23" s="4"/>
      <c r="L23" s="91"/>
      <c r="M23" s="4"/>
      <c r="N23" s="91"/>
      <c r="O23" s="92"/>
      <c r="P23" s="192"/>
      <c r="R23" s="108"/>
      <c r="X23" s="45"/>
      <c r="AG23" s="45"/>
      <c r="AH23" s="12"/>
      <c r="AJ23" s="29"/>
      <c r="AK23" s="45"/>
      <c r="AR23" s="45"/>
      <c r="AZ23" s="45"/>
      <c r="BA23" s="12"/>
      <c r="BC23" s="47"/>
      <c r="BH23" s="12"/>
      <c r="BI23" s="45"/>
      <c r="BJ23" s="12"/>
      <c r="BK23" s="12"/>
      <c r="BL23" s="12"/>
      <c r="BM23" s="12"/>
      <c r="BN23" s="12"/>
      <c r="BO23" s="12"/>
      <c r="BP23" s="12"/>
      <c r="BQ23" s="45"/>
      <c r="BU23" s="110" t="s">
        <v>91</v>
      </c>
      <c r="BV23" s="38">
        <v>21720</v>
      </c>
      <c r="BW23" s="38">
        <f>ROUND(0.01*BV23,0)</f>
        <v>217</v>
      </c>
      <c r="BX23" s="104">
        <f>BV23-BW23</f>
        <v>21503</v>
      </c>
      <c r="BY23" s="104">
        <f>ROUNDDOWN(BX23/2,0)+BW23</f>
        <v>10968</v>
      </c>
      <c r="BZ23" s="104">
        <f>BV23-BY23</f>
        <v>10752</v>
      </c>
      <c r="CA23" s="38">
        <v>1</v>
      </c>
      <c r="CB23" s="61">
        <f>14/60</f>
        <v>0.23333333333333334</v>
      </c>
      <c r="CC23" s="61">
        <f>CB23</f>
        <v>0.23333333333333334</v>
      </c>
      <c r="CD23" s="188">
        <f>BW23*CA23*CC23</f>
        <v>50.633333333333333</v>
      </c>
      <c r="CE23" s="58">
        <f>BY23*CA23*CC23</f>
        <v>2559.1999999999998</v>
      </c>
      <c r="CF23" s="178">
        <f>BZ23*CA23*CC23</f>
        <v>2508.8000000000002</v>
      </c>
      <c r="CG23" s="37">
        <f>CG22*CF23</f>
        <v>2508.8000000000002</v>
      </c>
      <c r="CH23" s="59">
        <f>CH22*CG23</f>
        <v>46412.800000000003</v>
      </c>
      <c r="CO23" s="111">
        <f>SUM(CH23,CJ23,CL23,CN23)</f>
        <v>46412.800000000003</v>
      </c>
      <c r="CP23"/>
      <c r="CT23" s="15"/>
      <c r="CU23" s="16"/>
      <c r="CV23" s="16"/>
      <c r="CW23" s="16"/>
      <c r="CX23" s="16"/>
      <c r="CY23" s="17"/>
      <c r="CZ23" s="16"/>
      <c r="DA23" s="12"/>
      <c r="DB23" s="12"/>
    </row>
    <row r="24" spans="1:106" ht="15.75" x14ac:dyDescent="0.25">
      <c r="A24" s="90"/>
      <c r="B24" s="35"/>
      <c r="C24" s="35"/>
      <c r="D24" s="36"/>
      <c r="E24" s="117"/>
      <c r="F24" s="208"/>
      <c r="G24" s="5"/>
      <c r="H24" s="91"/>
      <c r="I24" s="4"/>
      <c r="J24" s="91"/>
      <c r="K24" s="4"/>
      <c r="L24" s="91"/>
      <c r="M24" s="4"/>
      <c r="N24" s="91"/>
      <c r="O24" s="35"/>
      <c r="P24" s="35"/>
      <c r="Q24" t="s">
        <v>38</v>
      </c>
      <c r="R24" s="108"/>
      <c r="X24" s="45"/>
      <c r="AG24" s="45"/>
      <c r="AH24" s="12"/>
      <c r="AJ24" s="29"/>
      <c r="AK24" s="45"/>
      <c r="AR24" s="45"/>
      <c r="AZ24" s="45"/>
      <c r="BA24" s="12"/>
      <c r="BC24" s="47"/>
      <c r="BH24" s="12"/>
      <c r="BI24" s="45"/>
      <c r="BJ24" s="12"/>
      <c r="BK24" s="12"/>
      <c r="BL24" s="12"/>
      <c r="BM24" s="12"/>
      <c r="BN24" s="12"/>
      <c r="BO24" s="12"/>
      <c r="BP24" s="12"/>
      <c r="BQ24" s="45"/>
      <c r="BU24" s="103"/>
      <c r="CG24" s="45"/>
      <c r="CO24" s="63"/>
      <c r="CP24" s="76"/>
      <c r="CQ24" s="76"/>
      <c r="CT24" s="15"/>
      <c r="CU24" s="16"/>
      <c r="CV24" s="16"/>
      <c r="CW24" s="16"/>
      <c r="CX24" s="16"/>
      <c r="CY24" s="17"/>
      <c r="CZ24" s="16"/>
      <c r="DA24" s="12"/>
      <c r="DB24" s="12"/>
    </row>
    <row r="25" spans="1:106" ht="15.75" x14ac:dyDescent="0.25">
      <c r="A25" s="90"/>
      <c r="B25" s="35"/>
      <c r="C25" s="35"/>
      <c r="D25" s="36"/>
      <c r="E25" s="117"/>
      <c r="F25" s="35"/>
      <c r="G25" s="5"/>
      <c r="H25" s="91"/>
      <c r="I25" s="4"/>
      <c r="J25" s="91"/>
      <c r="K25" s="4"/>
      <c r="L25" s="91"/>
      <c r="M25" s="4"/>
      <c r="N25" s="91"/>
      <c r="O25" s="92"/>
      <c r="P25" s="192"/>
      <c r="Q25" t="s">
        <v>38</v>
      </c>
      <c r="R25" s="108"/>
      <c r="X25" s="45"/>
      <c r="AG25" s="45"/>
      <c r="AH25" s="12"/>
      <c r="AJ25" s="29"/>
      <c r="AK25" s="45"/>
      <c r="AR25" s="45"/>
      <c r="AZ25" s="45"/>
      <c r="BA25" s="12"/>
      <c r="BC25" s="47"/>
      <c r="BH25" s="12"/>
      <c r="BI25" s="45"/>
      <c r="BJ25" s="12"/>
      <c r="BK25" s="12"/>
      <c r="BL25" s="12"/>
      <c r="BM25" s="12"/>
      <c r="BN25" s="12"/>
      <c r="BO25" s="12"/>
      <c r="BP25" s="12"/>
      <c r="BQ25" s="45"/>
      <c r="BU25" s="103"/>
      <c r="CG25" s="45"/>
      <c r="CO25" s="63"/>
      <c r="CP25"/>
      <c r="CT25" s="15"/>
      <c r="CU25" s="16"/>
      <c r="CV25" s="16"/>
      <c r="CW25" s="16"/>
      <c r="CX25" s="16"/>
      <c r="CY25" s="17"/>
      <c r="CZ25" s="16"/>
      <c r="DA25" s="12"/>
      <c r="DB25" s="12"/>
    </row>
    <row r="26" spans="1:106" ht="15.75" x14ac:dyDescent="0.25">
      <c r="A26" s="90"/>
      <c r="B26" s="35"/>
      <c r="C26" s="35"/>
      <c r="D26" s="36"/>
      <c r="E26" s="117"/>
      <c r="F26" s="35"/>
      <c r="G26" s="5"/>
      <c r="H26" s="91"/>
      <c r="I26" s="4"/>
      <c r="J26" s="91"/>
      <c r="K26" s="4"/>
      <c r="L26" s="91"/>
      <c r="M26" s="4"/>
      <c r="N26" s="91"/>
      <c r="O26" s="92"/>
      <c r="P26" s="192"/>
      <c r="R26" s="108"/>
      <c r="X26" s="45"/>
      <c r="AG26" s="45"/>
      <c r="AH26" s="12"/>
      <c r="AJ26" s="29"/>
      <c r="AK26" s="45"/>
      <c r="AR26" s="45"/>
      <c r="AZ26" s="45"/>
      <c r="BA26" s="12"/>
      <c r="BC26" s="47"/>
      <c r="BH26" s="12"/>
      <c r="BI26" s="45"/>
      <c r="BJ26" s="12"/>
      <c r="BK26" s="12"/>
      <c r="BL26" s="12"/>
      <c r="BM26" s="12"/>
      <c r="BN26" s="12"/>
      <c r="BO26" s="12"/>
      <c r="BP26" s="12"/>
      <c r="BQ26" s="45"/>
      <c r="BU26" s="110"/>
      <c r="CG26" s="45"/>
      <c r="CO26" s="63"/>
      <c r="CP26"/>
      <c r="CT26" s="15"/>
      <c r="CU26" s="16"/>
      <c r="CV26" s="16"/>
      <c r="CW26" s="16"/>
      <c r="CX26" s="16"/>
      <c r="CY26" s="17"/>
      <c r="CZ26" s="16"/>
      <c r="DA26" s="12"/>
      <c r="DB26" s="12"/>
    </row>
    <row r="27" spans="1:106" ht="15.75" x14ac:dyDescent="0.25">
      <c r="A27" s="90"/>
      <c r="B27" s="35"/>
      <c r="C27" s="35"/>
      <c r="D27" s="36"/>
      <c r="E27" s="117"/>
      <c r="F27" s="35"/>
      <c r="G27" s="5"/>
      <c r="H27" s="91"/>
      <c r="I27" s="4"/>
      <c r="J27" s="91"/>
      <c r="K27" s="4"/>
      <c r="L27" s="91"/>
      <c r="M27" s="4"/>
      <c r="N27" s="91"/>
      <c r="O27" s="92"/>
      <c r="P27" s="192"/>
      <c r="Q27" t="s">
        <v>38</v>
      </c>
      <c r="R27" s="108"/>
      <c r="X27" s="45"/>
      <c r="AG27" s="45"/>
      <c r="AH27" s="12"/>
      <c r="AJ27" s="29"/>
      <c r="AK27" s="45"/>
      <c r="AR27" s="45"/>
      <c r="AZ27" s="45"/>
      <c r="BA27" s="12"/>
      <c r="BC27" s="47"/>
      <c r="BH27" s="12"/>
      <c r="BI27" s="45"/>
      <c r="BJ27" s="12"/>
      <c r="BK27" s="12"/>
      <c r="BL27" s="12"/>
      <c r="BM27" s="12"/>
      <c r="BN27" s="12"/>
      <c r="BO27" s="12"/>
      <c r="BP27" s="12"/>
      <c r="BQ27" s="45"/>
      <c r="BT27" s="31" t="s">
        <v>92</v>
      </c>
      <c r="BU27" s="103"/>
      <c r="BV27" t="s">
        <v>38</v>
      </c>
      <c r="CG27" s="45"/>
      <c r="CK27" s="115">
        <v>1</v>
      </c>
      <c r="CL27" s="121">
        <v>42.95</v>
      </c>
      <c r="CO27" s="63"/>
      <c r="CP27"/>
      <c r="CT27" s="15"/>
      <c r="CU27" s="16"/>
      <c r="CV27" s="16"/>
      <c r="CW27" s="16"/>
      <c r="CX27" s="16"/>
      <c r="CY27" s="17"/>
      <c r="CZ27" s="16"/>
      <c r="DA27" s="12"/>
      <c r="DB27" s="12"/>
    </row>
    <row r="28" spans="1:106" ht="45" x14ac:dyDescent="0.25">
      <c r="A28" s="90"/>
      <c r="B28" s="35"/>
      <c r="C28" s="35"/>
      <c r="D28" s="36"/>
      <c r="E28" s="117"/>
      <c r="F28" s="35"/>
      <c r="G28" s="5"/>
      <c r="H28" s="91"/>
      <c r="I28" s="4"/>
      <c r="J28" s="91"/>
      <c r="K28" s="4"/>
      <c r="L28" s="91"/>
      <c r="M28" s="4"/>
      <c r="N28" s="91"/>
      <c r="O28" s="92"/>
      <c r="P28" s="192"/>
      <c r="R28" s="108"/>
      <c r="X28" s="45"/>
      <c r="AG28" s="45"/>
      <c r="AH28" s="12"/>
      <c r="AJ28" s="29"/>
      <c r="AK28" s="45"/>
      <c r="AR28" s="45"/>
      <c r="AZ28" s="45"/>
      <c r="BA28" s="12"/>
      <c r="BC28" s="47"/>
      <c r="BH28" s="12"/>
      <c r="BI28" s="45"/>
      <c r="BJ28" s="12"/>
      <c r="BK28" s="12"/>
      <c r="BL28" s="12"/>
      <c r="BM28" s="12"/>
      <c r="BN28" s="12"/>
      <c r="BO28" s="12"/>
      <c r="BP28" s="12"/>
      <c r="BQ28" s="45"/>
      <c r="BU28" s="110" t="s">
        <v>93</v>
      </c>
      <c r="BV28" s="38">
        <v>199500</v>
      </c>
      <c r="BW28" s="38">
        <v>117631</v>
      </c>
      <c r="BX28" s="104">
        <f>BV28-BW28</f>
        <v>81869</v>
      </c>
      <c r="BY28" s="104">
        <f>ROUNDUP(BX28/2,0)+BW28</f>
        <v>158566</v>
      </c>
      <c r="BZ28" s="104">
        <f>BV28-BY28</f>
        <v>40934</v>
      </c>
      <c r="CA28" s="38">
        <v>1</v>
      </c>
      <c r="CB28">
        <v>32</v>
      </c>
      <c r="CC28" s="102">
        <f>CB28/3</f>
        <v>10.666666666666666</v>
      </c>
      <c r="CD28" s="188">
        <f>BW28*CA28*CC28</f>
        <v>1254730.6666666665</v>
      </c>
      <c r="CE28" s="58">
        <f>BY28*CA28*CC28</f>
        <v>1691370.6666666665</v>
      </c>
      <c r="CF28" s="178">
        <f>BZ28*CA28*CC28</f>
        <v>436629.33333333331</v>
      </c>
      <c r="CG28" s="45"/>
      <c r="CK28" s="58">
        <f>CK27*CF28</f>
        <v>436629.33333333331</v>
      </c>
      <c r="CL28" s="59">
        <f>CL27*CK28</f>
        <v>18753229.866666667</v>
      </c>
      <c r="CO28" s="111">
        <f>SUM(CH28,CJ28,CL28,CN28)</f>
        <v>18753229.866666667</v>
      </c>
      <c r="CP28"/>
      <c r="CT28" s="15"/>
      <c r="CU28" s="16"/>
      <c r="CV28" s="16"/>
      <c r="CW28" s="16"/>
      <c r="CX28" s="16"/>
      <c r="CY28" s="17"/>
      <c r="CZ28" s="16"/>
      <c r="DA28" s="12"/>
      <c r="DB28" s="12"/>
    </row>
    <row r="29" spans="1:106" ht="15.75" x14ac:dyDescent="0.25">
      <c r="A29" s="90"/>
      <c r="B29" s="35"/>
      <c r="C29" s="35"/>
      <c r="D29" s="36"/>
      <c r="E29" s="117"/>
      <c r="F29" s="35"/>
      <c r="G29" s="5"/>
      <c r="H29" s="91"/>
      <c r="I29" s="4"/>
      <c r="J29" s="91"/>
      <c r="K29" s="4"/>
      <c r="L29" s="91"/>
      <c r="M29" s="4"/>
      <c r="N29" s="91"/>
      <c r="O29" s="92"/>
      <c r="P29" s="192"/>
      <c r="R29" s="108"/>
      <c r="X29" s="45"/>
      <c r="AG29" s="45"/>
      <c r="AH29" s="12"/>
      <c r="AJ29" s="29"/>
      <c r="AK29" s="45"/>
      <c r="AR29" s="45"/>
      <c r="AZ29" s="45"/>
      <c r="BA29" s="12"/>
      <c r="BC29" s="47"/>
      <c r="BH29" s="12"/>
      <c r="BI29" s="45"/>
      <c r="BJ29" s="12"/>
      <c r="BK29" s="12"/>
      <c r="BL29" s="12"/>
      <c r="BM29" s="12"/>
      <c r="BN29" s="12"/>
      <c r="BO29" s="12"/>
      <c r="BP29" s="12"/>
      <c r="BQ29" s="45"/>
      <c r="BU29" s="110"/>
      <c r="BV29" s="38"/>
      <c r="BW29" s="38"/>
      <c r="BX29" s="104"/>
      <c r="BY29" s="104"/>
      <c r="BZ29" s="104"/>
      <c r="CA29" s="38"/>
      <c r="CC29" s="102"/>
      <c r="CD29" s="102"/>
      <c r="CE29" s="58"/>
      <c r="CF29" s="38"/>
      <c r="CG29" s="175">
        <f>180/220</f>
        <v>0.81818181818181823</v>
      </c>
      <c r="CH29" s="176">
        <v>11.69</v>
      </c>
      <c r="CI29" s="174">
        <f>40/220</f>
        <v>0.18181818181818182</v>
      </c>
      <c r="CJ29" s="176">
        <v>42.15</v>
      </c>
      <c r="CK29" s="58"/>
      <c r="CL29" s="59"/>
      <c r="CO29" s="111"/>
      <c r="CP29"/>
      <c r="CT29" s="15"/>
      <c r="CU29" s="16"/>
      <c r="CV29" s="16"/>
      <c r="CW29" s="16"/>
      <c r="CX29" s="16"/>
      <c r="CY29" s="17"/>
      <c r="CZ29" s="16"/>
      <c r="DA29" s="12"/>
      <c r="DB29" s="12"/>
    </row>
    <row r="30" spans="1:106" ht="30" x14ac:dyDescent="0.25">
      <c r="A30" s="90"/>
      <c r="B30" s="35"/>
      <c r="C30" s="35"/>
      <c r="D30" s="36"/>
      <c r="E30" s="117"/>
      <c r="F30" s="35"/>
      <c r="G30" s="5"/>
      <c r="H30" s="91"/>
      <c r="I30" s="4"/>
      <c r="J30" s="91"/>
      <c r="K30" s="4"/>
      <c r="L30" s="91"/>
      <c r="M30" s="4"/>
      <c r="N30" s="91"/>
      <c r="O30" s="92"/>
      <c r="P30" s="192"/>
      <c r="R30" s="108"/>
      <c r="X30" s="45"/>
      <c r="AG30" s="45"/>
      <c r="AH30" s="12"/>
      <c r="AJ30" s="29"/>
      <c r="AK30" s="45"/>
      <c r="AR30" s="45"/>
      <c r="AZ30" s="45"/>
      <c r="BA30" s="12"/>
      <c r="BC30" s="47"/>
      <c r="BH30" s="12"/>
      <c r="BI30" s="45"/>
      <c r="BJ30" s="12"/>
      <c r="BK30" s="12"/>
      <c r="BL30" s="12"/>
      <c r="BM30" s="12"/>
      <c r="BN30" s="12"/>
      <c r="BO30" s="12"/>
      <c r="BP30" s="12"/>
      <c r="BQ30" s="45"/>
      <c r="BU30" s="110" t="s">
        <v>98</v>
      </c>
      <c r="BV30" s="38">
        <v>199500</v>
      </c>
      <c r="BW30" s="38">
        <v>117631</v>
      </c>
      <c r="BX30" s="104">
        <f>BV30-BW30</f>
        <v>81869</v>
      </c>
      <c r="BY30" s="104">
        <f>ROUNDUP(BX30/2,0)+BW30</f>
        <v>158566</v>
      </c>
      <c r="BZ30" s="104">
        <f>BV30-BY30</f>
        <v>40934</v>
      </c>
      <c r="CA30" s="38">
        <v>1</v>
      </c>
      <c r="CB30">
        <v>220</v>
      </c>
      <c r="CC30" s="102">
        <f>CB30/3</f>
        <v>73.333333333333329</v>
      </c>
      <c r="CD30" s="188">
        <f>BW30*CA30*CC30</f>
        <v>8626273.3333333321</v>
      </c>
      <c r="CE30" s="58">
        <f>BY30*CA30*CC30</f>
        <v>11628173.333333332</v>
      </c>
      <c r="CF30" s="178">
        <f>BZ30*CA30*CC30</f>
        <v>3001826.6666666665</v>
      </c>
      <c r="CG30" s="37">
        <f>CG29*$CF30</f>
        <v>2456040</v>
      </c>
      <c r="CH30" s="171">
        <f>CH29*CG30</f>
        <v>28711107.599999998</v>
      </c>
      <c r="CI30" s="26">
        <f>CI29*$CF30</f>
        <v>545786.66666666663</v>
      </c>
      <c r="CJ30" s="171">
        <f>CJ29*CI30</f>
        <v>23004907.999999996</v>
      </c>
      <c r="CK30" s="58"/>
      <c r="CL30" s="59"/>
      <c r="CO30" s="111">
        <f>SUM(CH30,CJ30,CL30,CN30)</f>
        <v>51716015.599999994</v>
      </c>
      <c r="CP30"/>
      <c r="CT30" s="15"/>
      <c r="CU30" s="16"/>
      <c r="CV30" s="16"/>
      <c r="CW30" s="16"/>
      <c r="CX30" s="16"/>
      <c r="CY30" s="17"/>
      <c r="CZ30" s="16"/>
    </row>
    <row r="31" spans="1:106" ht="15.75" x14ac:dyDescent="0.25">
      <c r="A31" s="90"/>
      <c r="B31" s="35"/>
      <c r="C31" s="35"/>
      <c r="D31" s="36"/>
      <c r="E31" s="117"/>
      <c r="F31" s="35"/>
      <c r="G31" s="5"/>
      <c r="H31" s="91"/>
      <c r="I31" s="4"/>
      <c r="J31" s="91"/>
      <c r="K31" s="4"/>
      <c r="L31" s="91"/>
      <c r="M31" s="4"/>
      <c r="N31" s="91"/>
      <c r="O31" s="92"/>
      <c r="P31" s="192"/>
      <c r="R31" s="108"/>
      <c r="X31" s="45"/>
      <c r="AG31" s="45"/>
      <c r="AH31" s="12"/>
      <c r="AJ31" s="29"/>
      <c r="AK31" s="45"/>
      <c r="AR31" s="45"/>
      <c r="AZ31" s="45"/>
      <c r="BA31" s="12"/>
      <c r="BC31" s="47"/>
      <c r="BH31" s="12"/>
      <c r="BI31" s="45"/>
      <c r="BJ31" s="12"/>
      <c r="BK31" s="12"/>
      <c r="BL31" s="12"/>
      <c r="BM31" s="12"/>
      <c r="BN31" s="12"/>
      <c r="BO31" s="12"/>
      <c r="BP31" s="12"/>
      <c r="BQ31" s="45"/>
      <c r="BU31" s="110"/>
      <c r="BV31" s="38"/>
      <c r="BW31" s="38"/>
      <c r="BX31" s="104"/>
      <c r="BY31" s="104"/>
      <c r="BZ31" s="104"/>
      <c r="CA31" s="38"/>
      <c r="CC31" s="102"/>
      <c r="CD31" s="102"/>
      <c r="CE31" s="58"/>
      <c r="CF31" s="38"/>
      <c r="CG31" s="45"/>
      <c r="CK31" s="58"/>
      <c r="CL31" s="59"/>
      <c r="CO31" s="111"/>
      <c r="CP31"/>
      <c r="CT31" s="15"/>
      <c r="CU31" s="16"/>
      <c r="CV31" s="16"/>
      <c r="CW31" s="16"/>
      <c r="CX31" s="16"/>
      <c r="CY31" s="17"/>
      <c r="CZ31" s="16"/>
    </row>
    <row r="32" spans="1:106" ht="15.75" x14ac:dyDescent="0.25">
      <c r="A32" s="90"/>
      <c r="B32" s="35"/>
      <c r="C32" s="35"/>
      <c r="D32" s="36"/>
      <c r="E32" s="117"/>
      <c r="F32" s="35"/>
      <c r="G32" s="5"/>
      <c r="H32" s="91"/>
      <c r="I32" s="4"/>
      <c r="J32" s="91"/>
      <c r="K32" s="4"/>
      <c r="L32" s="91"/>
      <c r="M32" s="4"/>
      <c r="N32" s="91"/>
      <c r="O32" s="92"/>
      <c r="P32" s="192"/>
      <c r="R32" s="108"/>
      <c r="X32" s="45"/>
      <c r="AG32" s="45"/>
      <c r="AH32" s="12"/>
      <c r="AJ32" s="29"/>
      <c r="AK32" s="45"/>
      <c r="AR32" s="45"/>
      <c r="AZ32" s="45"/>
      <c r="BA32" s="12"/>
      <c r="BC32" s="47"/>
      <c r="BH32" s="12"/>
      <c r="BI32" s="45"/>
      <c r="BJ32" s="12"/>
      <c r="BK32" s="12"/>
      <c r="BL32" s="12"/>
      <c r="BM32" s="12"/>
      <c r="BN32" s="12"/>
      <c r="BO32" s="12"/>
      <c r="BP32" s="12"/>
      <c r="BQ32" s="45"/>
      <c r="BU32" s="103"/>
      <c r="BV32" s="38"/>
      <c r="BW32" s="38"/>
      <c r="BX32" s="38"/>
      <c r="BY32" s="178"/>
      <c r="BZ32" s="38"/>
      <c r="CA32" s="38"/>
      <c r="CG32" s="180" t="s">
        <v>19</v>
      </c>
      <c r="CH32" s="181"/>
      <c r="CI32" s="181" t="s">
        <v>18</v>
      </c>
      <c r="CJ32" s="181"/>
      <c r="CK32" s="181"/>
      <c r="CL32" s="181"/>
      <c r="CO32" s="63"/>
      <c r="CP32" s="122"/>
      <c r="CQ32" s="122"/>
      <c r="CT32" s="15"/>
      <c r="CU32" s="16"/>
      <c r="CV32" s="16"/>
      <c r="CW32" s="16"/>
      <c r="CX32" s="16"/>
      <c r="CY32" s="17"/>
      <c r="CZ32" s="16"/>
    </row>
    <row r="33" spans="1:104" ht="15.75" x14ac:dyDescent="0.25">
      <c r="A33" s="123" t="s">
        <v>39</v>
      </c>
      <c r="B33" s="36"/>
      <c r="C33" s="36"/>
      <c r="D33" s="36"/>
      <c r="E33" s="36"/>
      <c r="F33" s="36"/>
      <c r="G33" s="7"/>
      <c r="H33" s="124"/>
      <c r="I33" s="124"/>
      <c r="J33" s="124"/>
      <c r="K33" s="124"/>
      <c r="L33" s="124"/>
      <c r="M33" s="124"/>
      <c r="N33" s="124"/>
      <c r="O33" s="125"/>
      <c r="P33" s="191"/>
      <c r="R33" s="123" t="s">
        <v>39</v>
      </c>
      <c r="X33" s="45"/>
      <c r="AG33" s="45"/>
      <c r="AH33" s="94"/>
      <c r="AJ33" s="126" t="s">
        <v>39</v>
      </c>
      <c r="AK33" s="45"/>
      <c r="AR33" s="45"/>
      <c r="AZ33" s="45"/>
      <c r="BA33" s="12"/>
      <c r="BC33" s="123" t="s">
        <v>39</v>
      </c>
      <c r="BH33" s="12"/>
      <c r="BI33" s="45"/>
      <c r="BJ33" s="12"/>
      <c r="BK33" s="12"/>
      <c r="BL33" s="12"/>
      <c r="BM33" s="12"/>
      <c r="BN33" s="12"/>
      <c r="BO33" s="12"/>
      <c r="BP33" s="12"/>
      <c r="BQ33" s="45"/>
      <c r="BT33" s="173" t="s">
        <v>39</v>
      </c>
      <c r="BU33" s="47"/>
      <c r="CG33" s="51">
        <v>0.1</v>
      </c>
      <c r="CH33" s="52">
        <v>41</v>
      </c>
      <c r="CI33" s="55">
        <v>0.9</v>
      </c>
      <c r="CJ33" s="52">
        <v>30</v>
      </c>
      <c r="CK33" s="55"/>
      <c r="CL33" s="52"/>
      <c r="CO33" s="111"/>
      <c r="CP33"/>
      <c r="CT33" s="15"/>
      <c r="CU33" s="16"/>
      <c r="CV33" s="16"/>
      <c r="CW33" s="16"/>
      <c r="CX33" s="16"/>
      <c r="CY33" s="17"/>
      <c r="CZ33" s="16"/>
    </row>
    <row r="34" spans="1:104" ht="15.75" x14ac:dyDescent="0.25">
      <c r="A34" s="112" t="s">
        <v>81</v>
      </c>
      <c r="B34" s="36"/>
      <c r="C34" s="36">
        <f>B1</f>
        <v>25</v>
      </c>
      <c r="D34" s="36">
        <v>7</v>
      </c>
      <c r="E34" s="36">
        <v>2</v>
      </c>
      <c r="F34" s="35">
        <f>C34*D34*E34</f>
        <v>350</v>
      </c>
      <c r="G34" s="5">
        <f>G$4*$F34</f>
        <v>105</v>
      </c>
      <c r="H34" s="91">
        <f>H$4*G34</f>
        <v>1785</v>
      </c>
      <c r="I34" s="4">
        <f>I$4*$F34</f>
        <v>157.5</v>
      </c>
      <c r="J34" s="91">
        <f>J$4*I34</f>
        <v>7875</v>
      </c>
      <c r="K34" s="4">
        <f>K$4*$F34</f>
        <v>52.5</v>
      </c>
      <c r="L34" s="91">
        <f>L$4*K34</f>
        <v>2835</v>
      </c>
      <c r="M34" s="4">
        <f>M$4*$F34</f>
        <v>35</v>
      </c>
      <c r="N34" s="91">
        <f>N$4*M34</f>
        <v>2695</v>
      </c>
      <c r="O34" s="92">
        <f>SUM(H34,J34,L34,N34)</f>
        <v>15190</v>
      </c>
      <c r="P34" s="192"/>
      <c r="R34" s="108" t="s">
        <v>81</v>
      </c>
      <c r="T34">
        <f>S1</f>
        <v>41</v>
      </c>
      <c r="U34" s="36">
        <v>7</v>
      </c>
      <c r="V34">
        <v>2</v>
      </c>
      <c r="W34" s="58">
        <f>T34*U34*V34</f>
        <v>574</v>
      </c>
      <c r="X34" s="37">
        <f>X$4*$W34</f>
        <v>172.2</v>
      </c>
      <c r="Y34" s="25">
        <f>Y$4*X34</f>
        <v>4305</v>
      </c>
      <c r="Z34" s="26">
        <f>Z$4*$W34</f>
        <v>258.3</v>
      </c>
      <c r="AA34" s="25">
        <f>AA$4*Z34</f>
        <v>14206.5</v>
      </c>
      <c r="AB34" s="26">
        <f>AB$4*$W34</f>
        <v>86.1</v>
      </c>
      <c r="AC34" s="25">
        <f>AC$4*AB34</f>
        <v>8610</v>
      </c>
      <c r="AD34" s="26">
        <f>AD$4*$W34</f>
        <v>57.400000000000006</v>
      </c>
      <c r="AE34" s="25">
        <f>AE$4*AD34</f>
        <v>8265.6</v>
      </c>
      <c r="AF34" s="25"/>
      <c r="AG34" s="60">
        <f>SUM(Y34,AA34,AC34,AE34,AF34)</f>
        <v>35387.1</v>
      </c>
      <c r="AH34" s="94"/>
      <c r="AJ34" s="29" t="s">
        <v>81</v>
      </c>
      <c r="AK34" s="45"/>
      <c r="AN34">
        <f>AK1</f>
        <v>86</v>
      </c>
      <c r="AO34">
        <v>7</v>
      </c>
      <c r="AP34">
        <v>2</v>
      </c>
      <c r="AQ34" s="178">
        <f>AN34*AO34*AP34</f>
        <v>1204</v>
      </c>
      <c r="AR34" s="96">
        <f>AR$4*$AQ34</f>
        <v>361.2</v>
      </c>
      <c r="AS34" s="85">
        <f>AS$4*AR34</f>
        <v>6140.4</v>
      </c>
      <c r="AT34" s="97">
        <f>AT$4*$AQ34</f>
        <v>541.80000000000007</v>
      </c>
      <c r="AU34" s="85">
        <f>AU$4*AT34</f>
        <v>27090.000000000004</v>
      </c>
      <c r="AV34" s="97">
        <f>AV$4*$AQ34</f>
        <v>180.6</v>
      </c>
      <c r="AW34" s="85">
        <f>AW$4*AV34</f>
        <v>9752.4</v>
      </c>
      <c r="AX34" s="97">
        <f>AX$4*$AQ34</f>
        <v>120.4</v>
      </c>
      <c r="AY34" s="85">
        <f>AY$4*AX34</f>
        <v>9270.8000000000011</v>
      </c>
      <c r="AZ34" s="98">
        <f>SUM(AS34,AU34,AW34,AY34)</f>
        <v>52253.600000000006</v>
      </c>
      <c r="BA34" s="83"/>
      <c r="BC34" s="47" t="s">
        <v>81</v>
      </c>
      <c r="BE34" s="38">
        <f>BD1</f>
        <v>3</v>
      </c>
      <c r="BF34" s="38">
        <v>7</v>
      </c>
      <c r="BG34">
        <v>2</v>
      </c>
      <c r="BH34" s="38">
        <f>BE34*BF34*BG34</f>
        <v>42</v>
      </c>
      <c r="BI34" s="37">
        <f>BI$4*$BH34</f>
        <v>12.6</v>
      </c>
      <c r="BJ34" s="59">
        <f>BJ$4*BI34</f>
        <v>214.2</v>
      </c>
      <c r="BK34" s="58">
        <f>BK$4*$BH34</f>
        <v>18.900000000000002</v>
      </c>
      <c r="BL34" s="59">
        <f>BL$4*BK34</f>
        <v>945.00000000000011</v>
      </c>
      <c r="BM34" s="58">
        <f>BM$4*$BH34</f>
        <v>6.3</v>
      </c>
      <c r="BN34" s="59">
        <f>BN$4*BM34</f>
        <v>340.2</v>
      </c>
      <c r="BO34" s="58">
        <f>BO$4*$BH34</f>
        <v>4.2</v>
      </c>
      <c r="BP34" s="59">
        <f>BP$4*BO34</f>
        <v>323.40000000000003</v>
      </c>
      <c r="BQ34" s="60">
        <f>SUM(BJ34,BL34,BN34,BP34)</f>
        <v>1822.8000000000002</v>
      </c>
      <c r="BU34" s="103" t="s">
        <v>81</v>
      </c>
      <c r="BV34" s="38">
        <v>199500</v>
      </c>
      <c r="BW34" s="38">
        <v>117631</v>
      </c>
      <c r="BX34" s="104">
        <f>BV34-BW34</f>
        <v>81869</v>
      </c>
      <c r="BY34" s="104">
        <f>ROUNDUP(BX34/2,0)+BW34</f>
        <v>158566</v>
      </c>
      <c r="BZ34" s="104">
        <f>BV34-BY34</f>
        <v>40934</v>
      </c>
      <c r="CA34" s="127">
        <v>7</v>
      </c>
      <c r="CB34">
        <v>2</v>
      </c>
      <c r="CC34">
        <f>CB34</f>
        <v>2</v>
      </c>
      <c r="CD34" s="188">
        <f>BW34*CA34*CC34</f>
        <v>1646834</v>
      </c>
      <c r="CE34" s="58">
        <f>BY34*CA34*CC34</f>
        <v>2219924</v>
      </c>
      <c r="CF34" s="178">
        <f>BZ34*CA34*CC34</f>
        <v>573076</v>
      </c>
      <c r="CG34" s="37">
        <f>CG$33*$CF34</f>
        <v>57307.600000000006</v>
      </c>
      <c r="CH34" s="25">
        <f>CH$33*CG34</f>
        <v>2349611.6</v>
      </c>
      <c r="CI34" s="26">
        <f>CI$33*$CF34</f>
        <v>515768.4</v>
      </c>
      <c r="CJ34" s="25">
        <f>CJ$33*CI34</f>
        <v>15473052</v>
      </c>
      <c r="CK34" s="26"/>
      <c r="CL34" s="25"/>
      <c r="CO34" s="111">
        <f>SUM(CH34,CJ34,CL34,CN34)</f>
        <v>17822663.600000001</v>
      </c>
      <c r="CP34"/>
      <c r="CT34" s="15"/>
      <c r="CU34" s="16"/>
      <c r="CV34" s="16"/>
      <c r="CW34" s="16"/>
      <c r="CX34" s="16"/>
      <c r="CY34" s="17"/>
      <c r="CZ34" s="16"/>
    </row>
    <row r="35" spans="1:104" ht="15.75" x14ac:dyDescent="0.25">
      <c r="A35" s="112" t="s">
        <v>84</v>
      </c>
      <c r="B35" s="36"/>
      <c r="C35" s="36">
        <f>B1</f>
        <v>25</v>
      </c>
      <c r="D35" s="36">
        <v>1</v>
      </c>
      <c r="E35" s="36">
        <v>2</v>
      </c>
      <c r="F35" s="35">
        <f>C35*D35*E35</f>
        <v>50</v>
      </c>
      <c r="G35" s="5">
        <f>G$4*$F35</f>
        <v>15</v>
      </c>
      <c r="H35" s="91">
        <f>H$4*G35</f>
        <v>255</v>
      </c>
      <c r="I35" s="4">
        <f>I$4*$F35</f>
        <v>22.5</v>
      </c>
      <c r="J35" s="91">
        <f>J$4*I35</f>
        <v>1125</v>
      </c>
      <c r="K35" s="4">
        <f>K$4*$F35</f>
        <v>7.5</v>
      </c>
      <c r="L35" s="91">
        <f>L$4*K35</f>
        <v>405</v>
      </c>
      <c r="M35" s="4">
        <f>M$4*$F35</f>
        <v>5</v>
      </c>
      <c r="N35" s="91">
        <f>N$4*M35</f>
        <v>385</v>
      </c>
      <c r="O35" s="92">
        <f>SUM(H35,J35,L35,N35)</f>
        <v>2170</v>
      </c>
      <c r="P35" s="192"/>
      <c r="R35" s="108" t="s">
        <v>84</v>
      </c>
      <c r="T35">
        <f>S1</f>
        <v>41</v>
      </c>
      <c r="U35" s="36">
        <v>1</v>
      </c>
      <c r="V35">
        <v>2</v>
      </c>
      <c r="W35" s="58">
        <f>T35*U35*V35</f>
        <v>82</v>
      </c>
      <c r="X35" s="37">
        <f>X$4*$W35</f>
        <v>24.599999999999998</v>
      </c>
      <c r="Y35" s="25">
        <f>Y$4*X35</f>
        <v>615</v>
      </c>
      <c r="Z35" s="26">
        <f>Z$4*$W35</f>
        <v>36.9</v>
      </c>
      <c r="AA35" s="25">
        <f>AA$4*Z35</f>
        <v>2029.5</v>
      </c>
      <c r="AB35" s="26">
        <f>AB$4*$W35</f>
        <v>12.299999999999999</v>
      </c>
      <c r="AC35" s="25">
        <f>AC$4*AB35</f>
        <v>1230</v>
      </c>
      <c r="AD35" s="26">
        <f>AD$4*$W35</f>
        <v>8.2000000000000011</v>
      </c>
      <c r="AE35" s="25">
        <f>AE$4*AD35</f>
        <v>1180.8000000000002</v>
      </c>
      <c r="AF35" s="25"/>
      <c r="AG35" s="60">
        <f>SUM(Y35,AA35,AC35,AE35,AF35)</f>
        <v>5055.3</v>
      </c>
      <c r="AH35" s="94"/>
      <c r="AJ35" s="29" t="s">
        <v>84</v>
      </c>
      <c r="AK35" s="45"/>
      <c r="AN35">
        <f>AK1</f>
        <v>86</v>
      </c>
      <c r="AO35">
        <v>1</v>
      </c>
      <c r="AP35">
        <v>2</v>
      </c>
      <c r="AQ35" s="97">
        <f>AN35*AO35*AP35</f>
        <v>172</v>
      </c>
      <c r="AR35" s="96">
        <f>AR$4*$AQ35</f>
        <v>51.6</v>
      </c>
      <c r="AS35" s="85">
        <f>AS$4*AR35</f>
        <v>877.2</v>
      </c>
      <c r="AT35" s="97">
        <f>AT$4*$AQ35</f>
        <v>77.400000000000006</v>
      </c>
      <c r="AU35" s="85">
        <f>AU$4*AT35</f>
        <v>3870.0000000000005</v>
      </c>
      <c r="AV35" s="97">
        <f>AV$4*$AQ35</f>
        <v>25.8</v>
      </c>
      <c r="AW35" s="85">
        <f>AW$4*AV35</f>
        <v>1393.2</v>
      </c>
      <c r="AX35" s="97">
        <f>AX$4*$AQ35</f>
        <v>17.2</v>
      </c>
      <c r="AY35" s="85">
        <f>AY$4*AX35</f>
        <v>1324.3999999999999</v>
      </c>
      <c r="AZ35" s="98">
        <f>SUM(AS35,AU35,AW35,AY35)</f>
        <v>7464.8</v>
      </c>
      <c r="BA35" s="83"/>
      <c r="BC35" s="47" t="s">
        <v>84</v>
      </c>
      <c r="BE35" s="38">
        <f>BD1</f>
        <v>3</v>
      </c>
      <c r="BF35" s="38">
        <v>1</v>
      </c>
      <c r="BG35">
        <v>2</v>
      </c>
      <c r="BH35" s="38">
        <f>BE35*BF35*BG35</f>
        <v>6</v>
      </c>
      <c r="BI35" s="37">
        <f>BI$4*$BH35</f>
        <v>1.7999999999999998</v>
      </c>
      <c r="BJ35" s="59">
        <f>BJ$4*BI35</f>
        <v>30.599999999999998</v>
      </c>
      <c r="BK35" s="58">
        <f>BK$4*$BH35</f>
        <v>2.7</v>
      </c>
      <c r="BL35" s="59">
        <f>BL$4*BK35</f>
        <v>135</v>
      </c>
      <c r="BM35" s="58">
        <f>BM$4*$BH35</f>
        <v>0.89999999999999991</v>
      </c>
      <c r="BN35" s="59">
        <f>BN$4*BM35</f>
        <v>48.599999999999994</v>
      </c>
      <c r="BO35" s="58">
        <f>BO$4*$BH35</f>
        <v>0.60000000000000009</v>
      </c>
      <c r="BP35" s="59">
        <f>BP$4*BO35</f>
        <v>46.20000000000001</v>
      </c>
      <c r="BQ35" s="60">
        <f>SUM(BJ35,BL35,BN35,BP35)</f>
        <v>260.39999999999998</v>
      </c>
      <c r="BU35" s="103" t="s">
        <v>84</v>
      </c>
      <c r="BV35" s="38">
        <v>6133</v>
      </c>
      <c r="BW35" s="38">
        <v>1840</v>
      </c>
      <c r="BX35" s="104">
        <f>BV35-BW35</f>
        <v>4293</v>
      </c>
      <c r="BY35" s="104">
        <f>ROUNDUP(BX35/2,0)+BW35</f>
        <v>3987</v>
      </c>
      <c r="BZ35" s="104">
        <f>BV35-BY35</f>
        <v>2146</v>
      </c>
      <c r="CA35">
        <v>1</v>
      </c>
      <c r="CB35">
        <v>2</v>
      </c>
      <c r="CC35">
        <f>CB35</f>
        <v>2</v>
      </c>
      <c r="CD35" s="188">
        <f>BW35*CA35*CC35</f>
        <v>3680</v>
      </c>
      <c r="CE35" s="58">
        <f>BY35*CA35*CC35</f>
        <v>7974</v>
      </c>
      <c r="CF35" s="178">
        <f>BZ35*CA35*CC35</f>
        <v>4292</v>
      </c>
      <c r="CG35" s="37">
        <f>CG$33*$CF35</f>
        <v>429.20000000000005</v>
      </c>
      <c r="CH35" s="25">
        <f>CH$33*CG35</f>
        <v>17597.2</v>
      </c>
      <c r="CI35" s="26">
        <f>CI$33*$CF35</f>
        <v>3862.8</v>
      </c>
      <c r="CJ35" s="25">
        <f>CJ$33*CI35</f>
        <v>115884</v>
      </c>
      <c r="CK35" s="26"/>
      <c r="CL35" s="25"/>
      <c r="CO35" s="111">
        <f>SUM(CH35,CJ35,CL35,CN35)</f>
        <v>133481.20000000001</v>
      </c>
      <c r="CP35"/>
      <c r="CT35" s="15"/>
      <c r="CU35" s="16"/>
      <c r="CV35" s="16"/>
      <c r="CW35" s="16"/>
      <c r="CX35" s="16"/>
      <c r="CY35" s="17"/>
      <c r="CZ35" s="16"/>
    </row>
    <row r="36" spans="1:104" ht="16.5" thickBot="1" x14ac:dyDescent="0.3">
      <c r="A36" s="128" t="s">
        <v>85</v>
      </c>
      <c r="B36" s="22"/>
      <c r="C36" s="22"/>
      <c r="D36" s="22">
        <v>3</v>
      </c>
      <c r="E36" s="129">
        <v>2</v>
      </c>
      <c r="F36" s="21">
        <f>C36*D36*E36</f>
        <v>0</v>
      </c>
      <c r="G36" s="23">
        <f>G$4*$F36</f>
        <v>0</v>
      </c>
      <c r="H36" s="130">
        <f>H$4*G36</f>
        <v>0</v>
      </c>
      <c r="I36" s="21">
        <f>I$4*$F36</f>
        <v>0</v>
      </c>
      <c r="J36" s="130">
        <f>J$4*I36</f>
        <v>0</v>
      </c>
      <c r="K36" s="21">
        <f>K$4*$F36</f>
        <v>0</v>
      </c>
      <c r="L36" s="130">
        <f>L$4*K36</f>
        <v>0</v>
      </c>
      <c r="M36" s="21">
        <f>M$4*$F36</f>
        <v>0</v>
      </c>
      <c r="N36" s="130">
        <f>N$4*M36</f>
        <v>0</v>
      </c>
      <c r="O36" s="131">
        <f>SUM(H36,J36,L36,N36)</f>
        <v>0</v>
      </c>
      <c r="P36" s="192"/>
      <c r="R36" s="132" t="s">
        <v>85</v>
      </c>
      <c r="S36" s="69"/>
      <c r="T36" s="69"/>
      <c r="U36" s="22">
        <v>3</v>
      </c>
      <c r="V36" s="69">
        <v>2</v>
      </c>
      <c r="W36" s="67">
        <f>T36*U36*V36</f>
        <v>0</v>
      </c>
      <c r="X36" s="65">
        <f>X$4*$W36</f>
        <v>0</v>
      </c>
      <c r="Y36" s="66">
        <f>Y$4*X36</f>
        <v>0</v>
      </c>
      <c r="Z36" s="67">
        <f>Z$4*$W36</f>
        <v>0</v>
      </c>
      <c r="AA36" s="66">
        <f>AA$4*Z36</f>
        <v>0</v>
      </c>
      <c r="AB36" s="67">
        <f>AB$4*$W36</f>
        <v>0</v>
      </c>
      <c r="AC36" s="66">
        <f>AC$4*AB36</f>
        <v>0</v>
      </c>
      <c r="AD36" s="67">
        <f>AD$4*$W36</f>
        <v>0</v>
      </c>
      <c r="AE36" s="66">
        <f>AE$4*AD36</f>
        <v>0</v>
      </c>
      <c r="AF36" s="66"/>
      <c r="AG36" s="68">
        <f>SUM(Y36,AA36,AC36,AE36,AF36)</f>
        <v>0</v>
      </c>
      <c r="AH36" s="94"/>
      <c r="AJ36" s="133" t="s">
        <v>85</v>
      </c>
      <c r="AK36" s="134"/>
      <c r="AL36" s="135"/>
      <c r="AM36" s="135"/>
      <c r="AN36" s="135"/>
      <c r="AO36" s="135">
        <v>3</v>
      </c>
      <c r="AP36" s="69">
        <v>2</v>
      </c>
      <c r="AQ36" s="136">
        <f>AN36*AO36*AP36</f>
        <v>0</v>
      </c>
      <c r="AR36" s="137">
        <f>AR$4*$AQ36</f>
        <v>0</v>
      </c>
      <c r="AS36" s="138">
        <f>AS$4*AR36</f>
        <v>0</v>
      </c>
      <c r="AT36" s="136">
        <f>AT$4*$AQ36</f>
        <v>0</v>
      </c>
      <c r="AU36" s="138">
        <f>AU$4*AT36</f>
        <v>0</v>
      </c>
      <c r="AV36" s="136">
        <f>AV$4*$AQ36</f>
        <v>0</v>
      </c>
      <c r="AW36" s="138">
        <f>AW$4*AV36</f>
        <v>0</v>
      </c>
      <c r="AX36" s="136">
        <f>AX$4*$AQ36</f>
        <v>0</v>
      </c>
      <c r="AY36" s="138">
        <f>AY$4*AX36</f>
        <v>0</v>
      </c>
      <c r="AZ36" s="139">
        <f>SUM(AS36,AU36,AW36,AY36)</f>
        <v>0</v>
      </c>
      <c r="BA36" s="83"/>
      <c r="BC36" s="140" t="s">
        <v>85</v>
      </c>
      <c r="BD36" s="69"/>
      <c r="BE36" s="64"/>
      <c r="BF36" s="64">
        <v>3</v>
      </c>
      <c r="BG36" s="69">
        <v>2</v>
      </c>
      <c r="BH36" s="64">
        <f>BE36*BF36*BG36</f>
        <v>0</v>
      </c>
      <c r="BI36" s="65">
        <f>BI$4*$BH36</f>
        <v>0</v>
      </c>
      <c r="BJ36" s="66">
        <f>BJ$4*BI36</f>
        <v>0</v>
      </c>
      <c r="BK36" s="67">
        <f>BK$4*$BH36</f>
        <v>0</v>
      </c>
      <c r="BL36" s="66">
        <f>BL$4*BK36</f>
        <v>0</v>
      </c>
      <c r="BM36" s="67">
        <f>BM$4*$BH36</f>
        <v>0</v>
      </c>
      <c r="BN36" s="66">
        <f>BN$4*BM36</f>
        <v>0</v>
      </c>
      <c r="BO36" s="67">
        <f>BO$4*$BH36</f>
        <v>0</v>
      </c>
      <c r="BP36" s="66">
        <f>BP$4*BO36</f>
        <v>0</v>
      </c>
      <c r="BQ36" s="68">
        <f>SUM(BJ36,BL36,BN36,BP36)</f>
        <v>0</v>
      </c>
      <c r="BU36" s="141" t="s">
        <v>85</v>
      </c>
      <c r="BV36" s="64">
        <v>379</v>
      </c>
      <c r="BW36" s="64"/>
      <c r="BX36" s="104">
        <f>BV36-BW36</f>
        <v>379</v>
      </c>
      <c r="BY36" s="104">
        <f>ROUNDUP(BX36/2,0)+BW36</f>
        <v>190</v>
      </c>
      <c r="BZ36" s="104">
        <f>BV36-BY36</f>
        <v>189</v>
      </c>
      <c r="CA36" s="64">
        <v>3</v>
      </c>
      <c r="CB36" s="69">
        <v>2</v>
      </c>
      <c r="CC36" s="69">
        <f>CB36</f>
        <v>2</v>
      </c>
      <c r="CD36" s="188">
        <f>BW36*CA36*CC36</f>
        <v>0</v>
      </c>
      <c r="CE36" s="58">
        <f>BY36*CA36*CC36</f>
        <v>1140</v>
      </c>
      <c r="CF36" s="178">
        <f>BZ36*CA36*CC36</f>
        <v>1134</v>
      </c>
      <c r="CG36" s="65">
        <f>CG$33*$CF36</f>
        <v>113.4</v>
      </c>
      <c r="CH36" s="66">
        <f>CH$33*CG36</f>
        <v>4649.4000000000005</v>
      </c>
      <c r="CI36" s="67">
        <f>CI$33*$CF36</f>
        <v>1020.6</v>
      </c>
      <c r="CJ36" s="66">
        <f>CJ$33*CI36</f>
        <v>30618</v>
      </c>
      <c r="CK36" s="67"/>
      <c r="CL36" s="66"/>
      <c r="CM36" s="69"/>
      <c r="CN36" s="69"/>
      <c r="CO36" s="142">
        <f>SUM(CH36,CJ36,CL36,CN36)</f>
        <v>35267.4</v>
      </c>
      <c r="CP36" s="69"/>
      <c r="CQ36" s="69"/>
      <c r="CT36" s="15"/>
      <c r="CU36" s="16"/>
      <c r="CV36" s="16"/>
      <c r="CW36" s="16"/>
      <c r="CX36" s="16"/>
      <c r="CY36" s="17"/>
      <c r="CZ36" s="70"/>
    </row>
    <row r="37" spans="1:104" ht="16.5" thickTop="1" x14ac:dyDescent="0.25">
      <c r="A37" s="143" t="s">
        <v>4</v>
      </c>
      <c r="B37" s="24"/>
      <c r="C37" s="24"/>
      <c r="D37" s="24"/>
      <c r="E37" s="24"/>
      <c r="F37" s="210">
        <f>SUM(F5:F36)</f>
        <v>7935.0166666666664</v>
      </c>
      <c r="G37" s="209"/>
      <c r="H37" s="144"/>
      <c r="I37" s="144"/>
      <c r="J37" s="144"/>
      <c r="K37" s="144"/>
      <c r="L37" s="144"/>
      <c r="M37" s="144"/>
      <c r="N37" s="144"/>
      <c r="O37" s="145">
        <f>SUM(O5:O36)</f>
        <v>333004.25666666665</v>
      </c>
      <c r="P37" s="192"/>
      <c r="Q37" s="12"/>
      <c r="R37" s="146" t="s">
        <v>4</v>
      </c>
      <c r="S37" s="71"/>
      <c r="T37" s="71"/>
      <c r="U37" s="71"/>
      <c r="V37" s="71"/>
      <c r="W37" s="215">
        <f>SUM(W5:W36)</f>
        <v>2483.833333333333</v>
      </c>
      <c r="X37" s="72"/>
      <c r="Y37" s="71"/>
      <c r="Z37" s="71"/>
      <c r="AA37" s="71"/>
      <c r="AB37" s="71"/>
      <c r="AC37" s="71"/>
      <c r="AD37" s="71"/>
      <c r="AE37" s="71"/>
      <c r="AF37" s="71"/>
      <c r="AG37" s="147">
        <f>SUM(AG5:AG36)</f>
        <v>159568.32499999998</v>
      </c>
      <c r="AH37" s="94"/>
      <c r="AI37" s="12"/>
      <c r="AJ37" s="148" t="s">
        <v>4</v>
      </c>
      <c r="AK37" s="71"/>
      <c r="AL37" s="71"/>
      <c r="AM37" s="71"/>
      <c r="AN37" s="71"/>
      <c r="AO37" s="71"/>
      <c r="AP37" s="71"/>
      <c r="AQ37" s="217">
        <f>SUM(AQ5:AQ36)</f>
        <v>1898.35</v>
      </c>
      <c r="AR37" s="72"/>
      <c r="AS37" s="71"/>
      <c r="AT37" s="71"/>
      <c r="AU37" s="71"/>
      <c r="AV37" s="71"/>
      <c r="AW37" s="71"/>
      <c r="AX37" s="71"/>
      <c r="AY37" s="71"/>
      <c r="AZ37" s="149">
        <f>SUM(AZ5:AZ36)</f>
        <v>82388.390000000014</v>
      </c>
      <c r="BA37" s="83"/>
      <c r="BB37" s="12"/>
      <c r="BC37" s="150" t="s">
        <v>4</v>
      </c>
      <c r="BD37" s="71"/>
      <c r="BE37" s="71"/>
      <c r="BF37" s="71"/>
      <c r="BG37" s="71"/>
      <c r="BH37" s="215">
        <f>SUM(BH5:BH36)</f>
        <v>165</v>
      </c>
      <c r="BI37" s="71"/>
      <c r="BJ37" s="71"/>
      <c r="BK37" s="71"/>
      <c r="BL37" s="71"/>
      <c r="BM37" s="71"/>
      <c r="BN37" s="71"/>
      <c r="BO37" s="71"/>
      <c r="BP37" s="71"/>
      <c r="BQ37" s="147">
        <f>SUM(BQ5:BQ36)</f>
        <v>7161</v>
      </c>
      <c r="BR37" s="12"/>
      <c r="BS37" s="12"/>
      <c r="BT37" s="12"/>
      <c r="BU37" s="151" t="s">
        <v>4</v>
      </c>
      <c r="BV37" s="71"/>
      <c r="BW37" s="71"/>
      <c r="BX37" s="71"/>
      <c r="BY37" s="71"/>
      <c r="BZ37" s="71"/>
      <c r="CA37" s="71"/>
      <c r="CB37" s="71"/>
      <c r="CC37" s="71"/>
      <c r="CD37" s="71"/>
      <c r="CE37" s="71"/>
      <c r="CF37" s="73">
        <f>SUM(CF6:CF36)</f>
        <v>4724637.4666666668</v>
      </c>
      <c r="CG37" s="72"/>
      <c r="CH37" s="71"/>
      <c r="CI37" s="71"/>
      <c r="CJ37" s="71"/>
      <c r="CK37" s="71"/>
      <c r="CL37" s="71"/>
      <c r="CM37" s="71"/>
      <c r="CN37" s="71"/>
      <c r="CO37" s="190">
        <f>SUM(CO6:CO36)</f>
        <v>109651675.58666666</v>
      </c>
      <c r="CP37" s="71"/>
      <c r="CQ37" s="152">
        <f>SUM(CQ6)</f>
        <v>4195000</v>
      </c>
      <c r="CR37" s="12"/>
      <c r="CS37" s="12"/>
      <c r="CT37" s="143" t="s">
        <v>4</v>
      </c>
      <c r="CU37" s="27"/>
      <c r="CV37" s="27"/>
      <c r="CW37" s="27"/>
      <c r="CX37" s="221">
        <f>SUM(F37,W37,AQ37,BH37,CF37)</f>
        <v>4737119.666666667</v>
      </c>
      <c r="CY37" s="28">
        <f>SUM(O37,AG37,AZ37,BQ37,CO37)</f>
        <v>110233797.55833332</v>
      </c>
      <c r="CZ37" s="153">
        <f>CQ37</f>
        <v>4195000</v>
      </c>
    </row>
    <row r="38" spans="1:104" ht="15.75" x14ac:dyDescent="0.25">
      <c r="A38" s="213" t="s">
        <v>3</v>
      </c>
      <c r="B38" s="193"/>
      <c r="C38" s="193"/>
      <c r="D38" s="193"/>
      <c r="E38" s="193"/>
      <c r="F38" s="211">
        <f>F37-F39</f>
        <v>7535.0166666666664</v>
      </c>
      <c r="G38" s="194"/>
      <c r="H38" s="195"/>
      <c r="I38" s="195"/>
      <c r="J38" s="195"/>
      <c r="K38" s="195"/>
      <c r="L38" s="195"/>
      <c r="M38" s="195"/>
      <c r="N38" s="195"/>
      <c r="O38" s="196">
        <f>O37-O39</f>
        <v>315644.25666666665</v>
      </c>
      <c r="P38" s="192"/>
      <c r="Q38" s="12"/>
      <c r="R38" s="214" t="s">
        <v>3</v>
      </c>
      <c r="S38" s="197"/>
      <c r="T38" s="197"/>
      <c r="U38" s="197"/>
      <c r="V38" s="197"/>
      <c r="W38" s="206">
        <f>W37-W39</f>
        <v>1827.833333333333</v>
      </c>
      <c r="X38" s="197"/>
      <c r="Y38" s="197"/>
      <c r="Z38" s="197"/>
      <c r="AA38" s="197"/>
      <c r="AB38" s="197"/>
      <c r="AC38" s="197"/>
      <c r="AD38" s="197"/>
      <c r="AE38" s="197"/>
      <c r="AF38" s="197"/>
      <c r="AG38" s="198">
        <f>AG37-AG39</f>
        <v>119125.92499999999</v>
      </c>
      <c r="AH38" s="12"/>
      <c r="AI38" s="12"/>
      <c r="AJ38" s="216" t="s">
        <v>3</v>
      </c>
      <c r="AK38" s="197"/>
      <c r="AL38" s="197"/>
      <c r="AM38" s="197"/>
      <c r="AN38" s="197"/>
      <c r="AO38" s="197"/>
      <c r="AP38" s="197"/>
      <c r="AQ38" s="218">
        <f>AQ37-AQ39</f>
        <v>522.34999999999991</v>
      </c>
      <c r="AR38" s="197"/>
      <c r="AS38" s="197"/>
      <c r="AT38" s="197"/>
      <c r="AU38" s="197"/>
      <c r="AV38" s="197"/>
      <c r="AW38" s="197"/>
      <c r="AX38" s="197"/>
      <c r="AY38" s="197"/>
      <c r="AZ38" s="199">
        <f>AZ37-AZ39</f>
        <v>22669.990000000005</v>
      </c>
      <c r="BA38" s="83"/>
      <c r="BB38" s="12"/>
      <c r="BC38" s="219" t="s">
        <v>3</v>
      </c>
      <c r="BD38" s="197"/>
      <c r="BE38" s="197"/>
      <c r="BF38" s="197"/>
      <c r="BG38" s="197"/>
      <c r="BH38" s="206">
        <f>BH37-BH39</f>
        <v>117</v>
      </c>
      <c r="BI38" s="197"/>
      <c r="BJ38" s="197"/>
      <c r="BK38" s="197"/>
      <c r="BL38" s="197"/>
      <c r="BM38" s="197"/>
      <c r="BN38" s="197"/>
      <c r="BO38" s="197"/>
      <c r="BP38" s="197"/>
      <c r="BQ38" s="198">
        <f>BQ37-BQ39</f>
        <v>5077.7999999999993</v>
      </c>
      <c r="BR38" s="12"/>
      <c r="BS38" s="12"/>
      <c r="BT38" s="12"/>
      <c r="BU38" s="220" t="s">
        <v>3</v>
      </c>
      <c r="BV38" s="197"/>
      <c r="BW38" s="197"/>
      <c r="BX38" s="197"/>
      <c r="BY38" s="197"/>
      <c r="BZ38" s="197"/>
      <c r="CA38" s="197"/>
      <c r="CB38" s="197"/>
      <c r="CC38" s="197"/>
      <c r="CD38" s="197"/>
      <c r="CE38" s="197"/>
      <c r="CF38" s="206">
        <f>CF37-CF39</f>
        <v>4146135.4666666668</v>
      </c>
      <c r="CG38" s="197"/>
      <c r="CH38" s="197"/>
      <c r="CI38" s="197"/>
      <c r="CJ38" s="197"/>
      <c r="CK38" s="197"/>
      <c r="CL38" s="197"/>
      <c r="CM38" s="197"/>
      <c r="CN38" s="197"/>
      <c r="CO38" s="205">
        <f>CO37-CO39</f>
        <v>91660263.386666656</v>
      </c>
      <c r="CP38" s="197"/>
      <c r="CQ38" s="197"/>
      <c r="CR38" s="12"/>
      <c r="CS38" s="12"/>
      <c r="CT38" s="213" t="s">
        <v>3</v>
      </c>
      <c r="CU38" s="200"/>
      <c r="CV38" s="200"/>
      <c r="CW38" s="200"/>
      <c r="CX38" s="222">
        <f>CX37-CX39</f>
        <v>4156137.666666667</v>
      </c>
      <c r="CY38" s="201">
        <f>CY37-CY39</f>
        <v>92122781.358333319</v>
      </c>
      <c r="CZ38" s="201"/>
    </row>
    <row r="39" spans="1:104" ht="16.5" thickBot="1" x14ac:dyDescent="0.3">
      <c r="A39" s="154" t="s">
        <v>94</v>
      </c>
      <c r="B39" s="155"/>
      <c r="C39" s="155"/>
      <c r="D39" s="155"/>
      <c r="E39" s="155"/>
      <c r="F39" s="212">
        <f>SUM(F34:F36)</f>
        <v>400</v>
      </c>
      <c r="G39" s="202"/>
      <c r="H39" s="156"/>
      <c r="I39" s="156"/>
      <c r="J39" s="156"/>
      <c r="K39" s="156"/>
      <c r="L39" s="156"/>
      <c r="M39" s="156"/>
      <c r="N39" s="156"/>
      <c r="O39" s="203">
        <f>SUM(O34:O36)</f>
        <v>17360</v>
      </c>
      <c r="P39" s="192"/>
      <c r="Q39" s="12"/>
      <c r="R39" s="157" t="s">
        <v>94</v>
      </c>
      <c r="S39" s="74"/>
      <c r="T39" s="74"/>
      <c r="U39" s="74"/>
      <c r="V39" s="74"/>
      <c r="W39" s="172">
        <f>SUM(W34:W36)</f>
        <v>656</v>
      </c>
      <c r="X39" s="74"/>
      <c r="Y39" s="74"/>
      <c r="Z39" s="74"/>
      <c r="AA39" s="74"/>
      <c r="AB39" s="74"/>
      <c r="AC39" s="74"/>
      <c r="AD39" s="74"/>
      <c r="AE39" s="74"/>
      <c r="AF39" s="74"/>
      <c r="AG39" s="166">
        <f>SUM(AG34:AG36)</f>
        <v>40442.400000000001</v>
      </c>
      <c r="AH39" s="94"/>
      <c r="AI39" s="12"/>
      <c r="AJ39" s="158" t="s">
        <v>94</v>
      </c>
      <c r="AK39" s="74"/>
      <c r="AL39" s="74"/>
      <c r="AM39" s="74"/>
      <c r="AN39" s="74"/>
      <c r="AO39" s="74"/>
      <c r="AP39" s="74"/>
      <c r="AQ39" s="159">
        <f>SUM(AQ34:AQ36)</f>
        <v>1376</v>
      </c>
      <c r="AR39" s="74"/>
      <c r="AS39" s="74"/>
      <c r="AT39" s="74"/>
      <c r="AU39" s="74"/>
      <c r="AV39" s="74"/>
      <c r="AW39" s="74"/>
      <c r="AX39" s="74"/>
      <c r="AY39" s="74"/>
      <c r="AZ39" s="160">
        <f>SUM(AZ34:AZ36)</f>
        <v>59718.400000000009</v>
      </c>
      <c r="BA39" s="83"/>
      <c r="BB39" s="12"/>
      <c r="BC39" s="161" t="s">
        <v>94</v>
      </c>
      <c r="BD39" s="74"/>
      <c r="BE39" s="74"/>
      <c r="BF39" s="74"/>
      <c r="BG39" s="74"/>
      <c r="BH39" s="172">
        <f>SUM(BH34:BH36)</f>
        <v>48</v>
      </c>
      <c r="BI39" s="74"/>
      <c r="BJ39" s="74"/>
      <c r="BK39" s="74"/>
      <c r="BL39" s="74"/>
      <c r="BM39" s="74"/>
      <c r="BN39" s="74"/>
      <c r="BO39" s="74"/>
      <c r="BP39" s="74"/>
      <c r="BQ39" s="166">
        <f>SUM(BQ34:BQ36)</f>
        <v>2083.2000000000003</v>
      </c>
      <c r="BR39" s="12"/>
      <c r="BS39" s="12"/>
      <c r="BT39" s="12"/>
      <c r="BU39" s="162" t="s">
        <v>94</v>
      </c>
      <c r="BV39" s="74"/>
      <c r="BW39" s="74"/>
      <c r="BX39" s="74"/>
      <c r="BY39" s="74"/>
      <c r="BZ39" s="74"/>
      <c r="CA39" s="74"/>
      <c r="CB39" s="74"/>
      <c r="CC39" s="74"/>
      <c r="CD39" s="74"/>
      <c r="CE39" s="74"/>
      <c r="CF39" s="172">
        <f>SUM(CF34:CF36)</f>
        <v>578502</v>
      </c>
      <c r="CG39" s="74"/>
      <c r="CH39" s="74"/>
      <c r="CI39" s="74"/>
      <c r="CJ39" s="74"/>
      <c r="CK39" s="74"/>
      <c r="CL39" s="74"/>
      <c r="CM39" s="74"/>
      <c r="CN39" s="74"/>
      <c r="CO39" s="170">
        <f>SUM(CO34:CO36)</f>
        <v>17991412.199999999</v>
      </c>
      <c r="CP39" s="74"/>
      <c r="CQ39" s="74"/>
      <c r="CR39" s="12"/>
      <c r="CS39" s="12"/>
      <c r="CT39" s="154" t="s">
        <v>94</v>
      </c>
      <c r="CU39" s="75"/>
      <c r="CV39" s="75"/>
      <c r="CW39" s="75"/>
      <c r="CX39" s="177">
        <f>SUM(F39,W39,AQ39,BH39,CF39)</f>
        <v>580982</v>
      </c>
      <c r="CY39" s="204">
        <f>SUM(O39,AG39,AZ39,BQ39,CO39)</f>
        <v>18111016.199999999</v>
      </c>
      <c r="CZ39" s="204"/>
    </row>
    <row r="40" spans="1:104" ht="15.75" x14ac:dyDescent="0.25">
      <c r="G40" s="12"/>
      <c r="AQ40" s="12"/>
      <c r="AY40" s="47"/>
      <c r="AZ40" s="59"/>
      <c r="BA40" s="59"/>
      <c r="CT40" s="6" t="s">
        <v>96</v>
      </c>
      <c r="CU40" s="18"/>
      <c r="CV40" s="18"/>
      <c r="CW40" s="18"/>
      <c r="CX40" s="165">
        <v>19017311.633333333</v>
      </c>
      <c r="CY40" s="20">
        <v>425885805.65333343</v>
      </c>
      <c r="CZ40" s="20"/>
    </row>
    <row r="41" spans="1:104" ht="15.75" x14ac:dyDescent="0.25">
      <c r="A41" t="s">
        <v>95</v>
      </c>
      <c r="Q41" t="s">
        <v>38</v>
      </c>
      <c r="AQ41" s="12"/>
      <c r="AY41" s="47"/>
      <c r="AZ41" s="59"/>
      <c r="BA41" s="59"/>
      <c r="CT41" s="163"/>
      <c r="CU41" s="18"/>
      <c r="CV41" s="18"/>
      <c r="CW41" s="18"/>
      <c r="CX41" s="19"/>
      <c r="CY41" s="20"/>
      <c r="CZ41" s="20"/>
    </row>
    <row r="42" spans="1:104" x14ac:dyDescent="0.25">
      <c r="Q42" t="s">
        <v>38</v>
      </c>
      <c r="AQ42" s="38"/>
      <c r="CT42" s="29"/>
      <c r="CU42" s="12"/>
      <c r="CV42" s="12"/>
      <c r="CW42" s="12"/>
      <c r="CX42" s="30"/>
      <c r="CY42" s="12"/>
      <c r="CZ42" s="12"/>
    </row>
    <row r="43" spans="1:104" ht="18.75" x14ac:dyDescent="0.3">
      <c r="N43" s="85"/>
      <c r="BH43" s="58"/>
      <c r="CT43" s="3"/>
      <c r="CU43" s="12"/>
      <c r="CV43" s="12"/>
      <c r="CW43" s="12"/>
      <c r="CX43" s="30"/>
      <c r="CY43" s="30"/>
      <c r="CZ43" s="30"/>
    </row>
    <row r="44" spans="1:104" ht="15.75" x14ac:dyDescent="0.25">
      <c r="N44" s="89"/>
      <c r="Q44" t="s">
        <v>38</v>
      </c>
      <c r="AH44" s="76"/>
      <c r="CI44" s="119"/>
      <c r="CT44" s="1"/>
      <c r="CU44" s="12"/>
      <c r="CV44" s="12"/>
      <c r="CW44" s="12"/>
      <c r="CX44" s="12"/>
      <c r="CY44" s="12"/>
      <c r="CZ44" s="12"/>
    </row>
    <row r="45" spans="1:104" ht="15.75" x14ac:dyDescent="0.25">
      <c r="AG45" s="76"/>
      <c r="CI45" s="119"/>
      <c r="CT45" s="1"/>
      <c r="CU45" s="12"/>
      <c r="CV45" s="12"/>
      <c r="CW45" s="12"/>
      <c r="CX45" s="12"/>
      <c r="CY45" s="12"/>
      <c r="CZ45" s="12"/>
    </row>
    <row r="46" spans="1:104" ht="15.75" x14ac:dyDescent="0.25">
      <c r="CT46" s="1"/>
      <c r="CU46" s="12"/>
      <c r="CV46" s="12"/>
      <c r="CW46" s="12"/>
      <c r="CX46" s="12"/>
      <c r="CY46" s="12"/>
      <c r="CZ46" s="12"/>
    </row>
    <row r="47" spans="1:104" ht="15.75" x14ac:dyDescent="0.25">
      <c r="CT47" s="1"/>
      <c r="CU47" s="12"/>
      <c r="CV47" s="12"/>
      <c r="CW47" s="12"/>
      <c r="CX47" s="12"/>
      <c r="CY47" s="12"/>
      <c r="CZ47" s="12"/>
    </row>
    <row r="48" spans="1:104" ht="15.75" x14ac:dyDescent="0.25">
      <c r="CT48" s="1"/>
      <c r="CU48" s="12"/>
      <c r="CV48" s="12"/>
      <c r="CW48" s="12"/>
      <c r="CX48" s="12"/>
      <c r="CY48" s="12"/>
      <c r="CZ48" s="12"/>
    </row>
    <row r="49" spans="98:104" ht="15.75" x14ac:dyDescent="0.25">
      <c r="CT49" s="1"/>
      <c r="CU49" s="12"/>
      <c r="CV49" s="12"/>
      <c r="CW49" s="12"/>
      <c r="CX49" s="12"/>
      <c r="CY49" s="12"/>
      <c r="CZ49" s="12"/>
    </row>
    <row r="50" spans="98:104" x14ac:dyDescent="0.25">
      <c r="CU50" s="12"/>
      <c r="CV50" s="12"/>
      <c r="CW50" s="12"/>
      <c r="CX50" s="12"/>
      <c r="CY50" s="12"/>
      <c r="CZ50" s="12"/>
    </row>
  </sheetData>
  <mergeCells count="23">
    <mergeCell ref="CK2:CL2"/>
    <mergeCell ref="CM2:CN2"/>
    <mergeCell ref="CG32:CH32"/>
    <mergeCell ref="CI32:CJ32"/>
    <mergeCell ref="CK32:CL32"/>
    <mergeCell ref="BI2:BJ2"/>
    <mergeCell ref="BK2:BL2"/>
    <mergeCell ref="BM2:BN2"/>
    <mergeCell ref="BO2:BP2"/>
    <mergeCell ref="CG2:CH2"/>
    <mergeCell ref="CI2:CJ2"/>
    <mergeCell ref="AB2:AC2"/>
    <mergeCell ref="AD2:AE2"/>
    <mergeCell ref="AR2:AS2"/>
    <mergeCell ref="AT2:AU2"/>
    <mergeCell ref="AV2:AW2"/>
    <mergeCell ref="AX2:AY2"/>
    <mergeCell ref="G2:H2"/>
    <mergeCell ref="I2:J2"/>
    <mergeCell ref="K2:L2"/>
    <mergeCell ref="M2:N2"/>
    <mergeCell ref="X2:Y2"/>
    <mergeCell ref="Z2:AA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FCRA (V)</vt:lpstr>
      <vt:lpstr>'FCRA (V)'!_ftn1</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Reference</dc:creator>
  <cp:lastModifiedBy>Reference</cp:lastModifiedBy>
  <dcterms:created xsi:type="dcterms:W3CDTF">2011-10-13T13:59:42Z</dcterms:created>
  <dcterms:modified xsi:type="dcterms:W3CDTF">2012-03-14T20:28:52Z</dcterms:modified>
</cp:coreProperties>
</file>