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hidePivotFieldList="1" defaultThemeVersion="124226"/>
  <bookViews>
    <workbookView xWindow="630" yWindow="-45" windowWidth="15480" windowHeight="9420" tabRatio="925"/>
  </bookViews>
  <sheets>
    <sheet name="Main" sheetId="101" r:id="rId1"/>
    <sheet name="PVC YR 1" sheetId="2" r:id="rId2"/>
    <sheet name="PVC YR 2" sheetId="96" r:id="rId3"/>
    <sheet name="PVC YR 3" sheetId="97" r:id="rId4"/>
    <sheet name="PVC Summary-PV" sheetId="68" r:id="rId5"/>
    <sheet name="EPA YR 1" sheetId="13" r:id="rId6"/>
    <sheet name="EPA YR 2" sheetId="98" r:id="rId7"/>
    <sheet name="EPA YR 3" sheetId="99" r:id="rId8"/>
    <sheet name="EPA Summary" sheetId="66" r:id="rId9"/>
    <sheet name="Hrs_Responses" sheetId="91" r:id="rId10"/>
    <sheet name="Record&amp;Reporting Burden Only" sheetId="100" state="hidden" r:id="rId11"/>
    <sheet name="Process Vent - T&amp;M Costs" sheetId="81" state="hidden" r:id="rId12"/>
    <sheet name="Resin T&amp;M Costs" sheetId="82" state="hidden" r:id="rId13"/>
    <sheet name="Wastewater T&amp;M Costs" sheetId="83" state="hidden" r:id="rId14"/>
    <sheet name="EquipmentLeaks - T&amp;M Costs" sheetId="93" state="hidden" r:id="rId15"/>
    <sheet name="Hourly Rates" sheetId="18" state="hidden" r:id="rId16"/>
  </sheets>
  <definedNames>
    <definedName name="_Regression_Int" localSheetId="1" hidden="1">1</definedName>
    <definedName name="_Regression_Int" localSheetId="2" hidden="1">1</definedName>
    <definedName name="_Regression_Int" localSheetId="3" hidden="1">1</definedName>
    <definedName name="June_2003_HMIWI_Inventory" localSheetId="15">#REF!</definedName>
    <definedName name="_xlnm.Print_Area" localSheetId="8">'EPA Summary'!$A$1:$H$10</definedName>
    <definedName name="_xlnm.Print_Area" localSheetId="5">'EPA YR 1'!$A$1:$L$30</definedName>
    <definedName name="_xlnm.Print_Area" localSheetId="6">'EPA YR 2'!$A$1:$L$30</definedName>
    <definedName name="_xlnm.Print_Area" localSheetId="7">'EPA YR 3'!$A$1:$L$30</definedName>
    <definedName name="_xlnm.Print_Area" localSheetId="15">'Hourly Rates'!$A$7:$J$16</definedName>
    <definedName name="_xlnm.Print_Area" localSheetId="4">'PVC Summary-PV'!$A$1:$I$10</definedName>
    <definedName name="_xlnm.Print_Area" localSheetId="1">'PVC YR 1'!$A$1:$Q$81</definedName>
    <definedName name="_xlnm.Print_Area" localSheetId="2">'PVC YR 2'!$A$1:$Q$81</definedName>
    <definedName name="_xlnm.Print_Area" localSheetId="3">'PVC YR 3'!$A$1:$Q$81</definedName>
    <definedName name="_xlnm.Print_Area" localSheetId="10">'Record&amp;Reporting Burden Only'!$A$1:$K$37</definedName>
    <definedName name="_xlnm.Print_Titles" localSheetId="15">'Hourly Rates'!#REF!</definedName>
    <definedName name="_xlnm.Print_Titles" localSheetId="1">'PVC YR 1'!$5:$12</definedName>
    <definedName name="_xlnm.Print_Titles" localSheetId="2">'PVC YR 2'!$5:$12</definedName>
    <definedName name="_xlnm.Print_Titles" localSheetId="3">'PVC YR 3'!$5:$12</definedName>
  </definedNames>
  <calcPr calcId="125725"/>
</workbook>
</file>

<file path=xl/calcChain.xml><?xml version="1.0" encoding="utf-8"?>
<calcChain xmlns="http://schemas.openxmlformats.org/spreadsheetml/2006/main">
  <c r="I25" i="97"/>
  <c r="I25" i="96"/>
  <c r="C29" i="83"/>
  <c r="E8" i="18" l="1"/>
  <c r="F35" i="97"/>
  <c r="F34"/>
  <c r="F35" i="96"/>
  <c r="F34"/>
  <c r="F35" i="2"/>
  <c r="F34"/>
  <c r="F30" i="97"/>
  <c r="F30" i="96"/>
  <c r="F30" i="2"/>
  <c r="F23" i="97"/>
  <c r="F23" i="96"/>
  <c r="F23" i="2"/>
  <c r="N23" s="1"/>
  <c r="J28" i="97" l="1"/>
  <c r="H28"/>
  <c r="H29"/>
  <c r="J29" s="1"/>
  <c r="N29"/>
  <c r="H30"/>
  <c r="J30" s="1"/>
  <c r="N30"/>
  <c r="H28" i="96"/>
  <c r="J28" s="1"/>
  <c r="H29"/>
  <c r="J29" s="1"/>
  <c r="N29"/>
  <c r="H30"/>
  <c r="J30" s="1"/>
  <c r="N30"/>
  <c r="J28" i="2"/>
  <c r="K28" s="1"/>
  <c r="L28"/>
  <c r="H28"/>
  <c r="L23" i="99"/>
  <c r="I22"/>
  <c r="K22" s="1"/>
  <c r="F21"/>
  <c r="I21" s="1"/>
  <c r="F20"/>
  <c r="I20" s="1"/>
  <c r="K20" s="1"/>
  <c r="F19"/>
  <c r="I19" s="1"/>
  <c r="I11"/>
  <c r="K11" s="1"/>
  <c r="F11"/>
  <c r="A11"/>
  <c r="I10"/>
  <c r="K10" s="1"/>
  <c r="I8"/>
  <c r="F11" i="98"/>
  <c r="F19"/>
  <c r="I19" s="1"/>
  <c r="K19" s="1"/>
  <c r="F20"/>
  <c r="F21"/>
  <c r="I21" s="1"/>
  <c r="K21" s="1"/>
  <c r="I22"/>
  <c r="K22" s="1"/>
  <c r="I20"/>
  <c r="I11"/>
  <c r="A11"/>
  <c r="L23"/>
  <c r="I8"/>
  <c r="F19" i="13"/>
  <c r="F11"/>
  <c r="O61" i="97"/>
  <c r="N58"/>
  <c r="H58"/>
  <c r="J58" s="1"/>
  <c r="N57"/>
  <c r="J57"/>
  <c r="H57"/>
  <c r="N56"/>
  <c r="H56"/>
  <c r="J56" s="1"/>
  <c r="N55"/>
  <c r="J55"/>
  <c r="H55"/>
  <c r="N54"/>
  <c r="H54"/>
  <c r="J54" s="1"/>
  <c r="N53"/>
  <c r="J53"/>
  <c r="H53"/>
  <c r="N52"/>
  <c r="N61" s="1"/>
  <c r="H52"/>
  <c r="J52" s="1"/>
  <c r="O45"/>
  <c r="N45"/>
  <c r="H45"/>
  <c r="O44"/>
  <c r="N44"/>
  <c r="J44"/>
  <c r="H44"/>
  <c r="O43"/>
  <c r="N43"/>
  <c r="H43"/>
  <c r="J43" s="1"/>
  <c r="I42"/>
  <c r="O42" s="1"/>
  <c r="H42"/>
  <c r="N41"/>
  <c r="I41"/>
  <c r="O41" s="1"/>
  <c r="H41"/>
  <c r="J41" s="1"/>
  <c r="I40"/>
  <c r="O40" s="1"/>
  <c r="H40"/>
  <c r="N39"/>
  <c r="I39"/>
  <c r="O39" s="1"/>
  <c r="H39"/>
  <c r="J39" s="1"/>
  <c r="J38"/>
  <c r="L38" s="1"/>
  <c r="N35"/>
  <c r="E35"/>
  <c r="H35" s="1"/>
  <c r="J35" s="1"/>
  <c r="H34"/>
  <c r="J34" s="1"/>
  <c r="N34"/>
  <c r="M65" s="1"/>
  <c r="N32"/>
  <c r="H32"/>
  <c r="J32" s="1"/>
  <c r="H27"/>
  <c r="J27" s="1"/>
  <c r="H26"/>
  <c r="J26" s="1"/>
  <c r="H25"/>
  <c r="J25" s="1"/>
  <c r="L25" s="1"/>
  <c r="F25"/>
  <c r="N25" s="1"/>
  <c r="H23"/>
  <c r="J23" s="1"/>
  <c r="N23"/>
  <c r="N22"/>
  <c r="H22"/>
  <c r="J22" s="1"/>
  <c r="L22" s="1"/>
  <c r="N21"/>
  <c r="J21"/>
  <c r="L21" s="1"/>
  <c r="H21"/>
  <c r="J20"/>
  <c r="L20" s="1"/>
  <c r="H20"/>
  <c r="H19"/>
  <c r="J19" s="1"/>
  <c r="F19"/>
  <c r="N19" s="1"/>
  <c r="J18"/>
  <c r="L18" s="1"/>
  <c r="J17"/>
  <c r="L17" s="1"/>
  <c r="N16"/>
  <c r="J16"/>
  <c r="L16" s="1"/>
  <c r="H16"/>
  <c r="H15"/>
  <c r="J15" s="1"/>
  <c r="L14"/>
  <c r="H14"/>
  <c r="M13"/>
  <c r="H13"/>
  <c r="O61" i="96"/>
  <c r="N58"/>
  <c r="H58"/>
  <c r="J58" s="1"/>
  <c r="N57"/>
  <c r="H57"/>
  <c r="J57" s="1"/>
  <c r="N56"/>
  <c r="H56"/>
  <c r="J56" s="1"/>
  <c r="N55"/>
  <c r="H55"/>
  <c r="J55" s="1"/>
  <c r="N54"/>
  <c r="H54"/>
  <c r="J54" s="1"/>
  <c r="N53"/>
  <c r="H53"/>
  <c r="J53" s="1"/>
  <c r="N52"/>
  <c r="N61" s="1"/>
  <c r="H52"/>
  <c r="J52" s="1"/>
  <c r="O45"/>
  <c r="N45"/>
  <c r="H45"/>
  <c r="O44"/>
  <c r="H44"/>
  <c r="O43"/>
  <c r="N43"/>
  <c r="H43"/>
  <c r="J43" s="1"/>
  <c r="I42"/>
  <c r="O42" s="1"/>
  <c r="H42"/>
  <c r="I41"/>
  <c r="O41" s="1"/>
  <c r="H41"/>
  <c r="I40"/>
  <c r="O40" s="1"/>
  <c r="H40"/>
  <c r="N39"/>
  <c r="I39"/>
  <c r="O39" s="1"/>
  <c r="H39"/>
  <c r="J39" s="1"/>
  <c r="J38"/>
  <c r="L38" s="1"/>
  <c r="N35"/>
  <c r="E35"/>
  <c r="H35" s="1"/>
  <c r="J35" s="1"/>
  <c r="H34"/>
  <c r="J34" s="1"/>
  <c r="L34" s="1"/>
  <c r="N34"/>
  <c r="N32"/>
  <c r="H32"/>
  <c r="J32" s="1"/>
  <c r="H27"/>
  <c r="J27" s="1"/>
  <c r="H26"/>
  <c r="J26" s="1"/>
  <c r="H25"/>
  <c r="J25" s="1"/>
  <c r="F25"/>
  <c r="N25" s="1"/>
  <c r="H23"/>
  <c r="J23" s="1"/>
  <c r="N23"/>
  <c r="N22"/>
  <c r="H22"/>
  <c r="J22" s="1"/>
  <c r="N21"/>
  <c r="J21"/>
  <c r="H21"/>
  <c r="J20"/>
  <c r="H20"/>
  <c r="H19"/>
  <c r="J19" s="1"/>
  <c r="F19"/>
  <c r="N19" s="1"/>
  <c r="J18"/>
  <c r="K18" s="1"/>
  <c r="J17"/>
  <c r="L17" s="1"/>
  <c r="N16"/>
  <c r="J16"/>
  <c r="H16"/>
  <c r="H15"/>
  <c r="J15" s="1"/>
  <c r="L14"/>
  <c r="H14"/>
  <c r="M13"/>
  <c r="H13"/>
  <c r="K30" l="1"/>
  <c r="L30"/>
  <c r="K17"/>
  <c r="K38"/>
  <c r="J41"/>
  <c r="N41"/>
  <c r="F15" i="98"/>
  <c r="I15" s="1"/>
  <c r="K15" s="1"/>
  <c r="F18"/>
  <c r="I18" s="1"/>
  <c r="J18" s="1"/>
  <c r="F16"/>
  <c r="I16" s="1"/>
  <c r="F16" i="99"/>
  <c r="I16" s="1"/>
  <c r="K16" s="1"/>
  <c r="F18"/>
  <c r="I18" s="1"/>
  <c r="K18" s="1"/>
  <c r="F17" i="98"/>
  <c r="I17" s="1"/>
  <c r="K17" s="1"/>
  <c r="F15" i="99"/>
  <c r="I15" s="1"/>
  <c r="F17"/>
  <c r="I17" s="1"/>
  <c r="K17" s="1"/>
  <c r="K29" i="97"/>
  <c r="L29"/>
  <c r="K17"/>
  <c r="K38"/>
  <c r="J40"/>
  <c r="N40"/>
  <c r="J42"/>
  <c r="N42"/>
  <c r="J22" i="99"/>
  <c r="J61" i="97"/>
  <c r="L28"/>
  <c r="K28"/>
  <c r="L30"/>
  <c r="K30"/>
  <c r="K28" i="96"/>
  <c r="L28"/>
  <c r="K29"/>
  <c r="L29"/>
  <c r="J21" i="99"/>
  <c r="K21"/>
  <c r="J15"/>
  <c r="K15"/>
  <c r="J19"/>
  <c r="K19"/>
  <c r="J8"/>
  <c r="J10"/>
  <c r="J11"/>
  <c r="J18"/>
  <c r="J20"/>
  <c r="K8"/>
  <c r="J11" i="98"/>
  <c r="K11"/>
  <c r="K18"/>
  <c r="J16"/>
  <c r="K16"/>
  <c r="J20"/>
  <c r="K20"/>
  <c r="J8"/>
  <c r="I10"/>
  <c r="I24" s="1"/>
  <c r="B7" i="66" s="1"/>
  <c r="J15" i="98"/>
  <c r="J17"/>
  <c r="J19"/>
  <c r="J21"/>
  <c r="J22"/>
  <c r="K8"/>
  <c r="K23" i="97"/>
  <c r="L23"/>
  <c r="K35"/>
  <c r="L35"/>
  <c r="K39"/>
  <c r="L39"/>
  <c r="J46"/>
  <c r="K15"/>
  <c r="M15" s="1"/>
  <c r="L15"/>
  <c r="K19"/>
  <c r="L19"/>
  <c r="K26"/>
  <c r="L26"/>
  <c r="L27"/>
  <c r="K27"/>
  <c r="L32"/>
  <c r="K32"/>
  <c r="K40"/>
  <c r="L40"/>
  <c r="K42"/>
  <c r="L42"/>
  <c r="O46"/>
  <c r="K41"/>
  <c r="L41"/>
  <c r="L43"/>
  <c r="K43"/>
  <c r="M14"/>
  <c r="K16"/>
  <c r="K18"/>
  <c r="K20"/>
  <c r="K21"/>
  <c r="K22"/>
  <c r="K25"/>
  <c r="L34"/>
  <c r="L46" s="1"/>
  <c r="L44"/>
  <c r="L52"/>
  <c r="L53"/>
  <c r="L54"/>
  <c r="L55"/>
  <c r="L56"/>
  <c r="L57"/>
  <c r="L58"/>
  <c r="K34"/>
  <c r="K44"/>
  <c r="K52"/>
  <c r="K53"/>
  <c r="K54"/>
  <c r="K55"/>
  <c r="K56"/>
  <c r="K57"/>
  <c r="K58"/>
  <c r="M65" i="96"/>
  <c r="O46"/>
  <c r="J40"/>
  <c r="N40"/>
  <c r="J42"/>
  <c r="L42" s="1"/>
  <c r="N42"/>
  <c r="J44"/>
  <c r="K44" s="1"/>
  <c r="L15"/>
  <c r="K15"/>
  <c r="M15" s="1"/>
  <c r="L19"/>
  <c r="K19"/>
  <c r="L23"/>
  <c r="K23"/>
  <c r="L35"/>
  <c r="K35"/>
  <c r="L39"/>
  <c r="K39"/>
  <c r="L41"/>
  <c r="K41"/>
  <c r="K43"/>
  <c r="L43"/>
  <c r="J61"/>
  <c r="K52"/>
  <c r="L52"/>
  <c r="K53"/>
  <c r="L53"/>
  <c r="K54"/>
  <c r="L54"/>
  <c r="K55"/>
  <c r="L55"/>
  <c r="K56"/>
  <c r="L56"/>
  <c r="K57"/>
  <c r="L57"/>
  <c r="K58"/>
  <c r="L58"/>
  <c r="L26"/>
  <c r="K26"/>
  <c r="K32"/>
  <c r="L32"/>
  <c r="L40"/>
  <c r="K42"/>
  <c r="L16"/>
  <c r="L18"/>
  <c r="L20"/>
  <c r="L21"/>
  <c r="L22"/>
  <c r="L25"/>
  <c r="L27"/>
  <c r="K34"/>
  <c r="N44"/>
  <c r="M14"/>
  <c r="K16"/>
  <c r="K20"/>
  <c r="K21"/>
  <c r="K22"/>
  <c r="K25"/>
  <c r="K27"/>
  <c r="J17" i="99" l="1"/>
  <c r="L44" i="96"/>
  <c r="J16" i="99"/>
  <c r="J24" s="1"/>
  <c r="C8" i="66" s="1"/>
  <c r="I24" i="99"/>
  <c r="B8" i="66" s="1"/>
  <c r="L61" i="97"/>
  <c r="L62"/>
  <c r="D8" i="68" s="1"/>
  <c r="O62" i="97"/>
  <c r="E7" i="91"/>
  <c r="O62" i="96"/>
  <c r="E6" i="91"/>
  <c r="K24" i="99"/>
  <c r="D8" i="66" s="1"/>
  <c r="J10" i="98"/>
  <c r="K10"/>
  <c r="K24" s="1"/>
  <c r="D7" i="66" s="1"/>
  <c r="J24" i="98"/>
  <c r="C7" i="66" s="1"/>
  <c r="K61" i="97"/>
  <c r="F7" i="91" s="1"/>
  <c r="J62" i="97"/>
  <c r="B8" i="68" s="1"/>
  <c r="K46" i="97"/>
  <c r="K62" s="1"/>
  <c r="C8" i="68" s="1"/>
  <c r="J46" i="96"/>
  <c r="L46"/>
  <c r="K40"/>
  <c r="K46" s="1"/>
  <c r="K61"/>
  <c r="L61"/>
  <c r="F6" i="91" l="1"/>
  <c r="L62" i="96"/>
  <c r="D7" i="68" s="1"/>
  <c r="C6" i="91"/>
  <c r="J62" i="96"/>
  <c r="B7" i="68" s="1"/>
  <c r="C7" i="91"/>
  <c r="K64" i="97"/>
  <c r="K62" i="96"/>
  <c r="K64" l="1"/>
  <c r="C7" i="68"/>
  <c r="N29" i="2" l="1"/>
  <c r="H30" l="1"/>
  <c r="J30" s="1"/>
  <c r="H23"/>
  <c r="J23" s="1"/>
  <c r="J18" l="1"/>
  <c r="K18" s="1"/>
  <c r="L18"/>
  <c r="N54"/>
  <c r="H54"/>
  <c r="J54" s="1"/>
  <c r="I39"/>
  <c r="F15" i="13" s="1"/>
  <c r="I40" i="2"/>
  <c r="I41"/>
  <c r="F17" i="13" s="1"/>
  <c r="I42" i="2"/>
  <c r="F18" i="13" s="1"/>
  <c r="N58" i="2"/>
  <c r="H58"/>
  <c r="J58" s="1"/>
  <c r="N30"/>
  <c r="L30"/>
  <c r="K30"/>
  <c r="L58" l="1"/>
  <c r="K58"/>
  <c r="L54"/>
  <c r="K54"/>
  <c r="N35" l="1"/>
  <c r="N34"/>
  <c r="N32"/>
  <c r="H32"/>
  <c r="J32" s="1"/>
  <c r="H29"/>
  <c r="J29" s="1"/>
  <c r="H26"/>
  <c r="J26" s="1"/>
  <c r="H27"/>
  <c r="J27" s="1"/>
  <c r="H25"/>
  <c r="J25" s="1"/>
  <c r="F25"/>
  <c r="N25" s="1"/>
  <c r="D23" i="81"/>
  <c r="F19" i="2"/>
  <c r="N22"/>
  <c r="H22"/>
  <c r="J22" s="1"/>
  <c r="H21"/>
  <c r="J21" s="1"/>
  <c r="H20"/>
  <c r="J20" s="1"/>
  <c r="N21"/>
  <c r="B26" i="83"/>
  <c r="C26" s="1"/>
  <c r="B25"/>
  <c r="C25" s="1"/>
  <c r="B24"/>
  <c r="C24" s="1"/>
  <c r="B23"/>
  <c r="C23" s="1"/>
  <c r="B22"/>
  <c r="B20"/>
  <c r="C20" s="1"/>
  <c r="B18"/>
  <c r="C18" s="1"/>
  <c r="B16"/>
  <c r="C16" s="1"/>
  <c r="B12"/>
  <c r="C12" s="1"/>
  <c r="D4"/>
  <c r="E12" i="82"/>
  <c r="D4"/>
  <c r="E19" s="1"/>
  <c r="F26" i="2" s="1"/>
  <c r="N26" s="1"/>
  <c r="F28" i="96" l="1"/>
  <c r="N28" s="1"/>
  <c r="F28" i="2"/>
  <c r="N28" s="1"/>
  <c r="F27" i="97"/>
  <c r="N27" s="1"/>
  <c r="F27" i="96"/>
  <c r="N27" s="1"/>
  <c r="F28" i="97"/>
  <c r="N28" s="1"/>
  <c r="F27" i="2"/>
  <c r="N27" s="1"/>
  <c r="E8" i="82"/>
  <c r="E10" s="1"/>
  <c r="F26" i="97"/>
  <c r="N26" s="1"/>
  <c r="F26" i="96"/>
  <c r="N26" s="1"/>
  <c r="L26" i="2"/>
  <c r="K32"/>
  <c r="L32"/>
  <c r="L29"/>
  <c r="K29"/>
  <c r="K27"/>
  <c r="L27"/>
  <c r="K26"/>
  <c r="L25"/>
  <c r="K25"/>
  <c r="L21"/>
  <c r="K21"/>
  <c r="L22"/>
  <c r="K22"/>
  <c r="L20"/>
  <c r="K20"/>
  <c r="B27" i="83"/>
  <c r="C19" s="1"/>
  <c r="C22"/>
  <c r="C41" i="82"/>
  <c r="C39"/>
  <c r="C37"/>
  <c r="C35"/>
  <c r="C33"/>
  <c r="C31"/>
  <c r="C29"/>
  <c r="C28"/>
  <c r="C26"/>
  <c r="E14"/>
  <c r="C42"/>
  <c r="C40"/>
  <c r="C38"/>
  <c r="C36"/>
  <c r="C34"/>
  <c r="C32"/>
  <c r="C30"/>
  <c r="C27"/>
  <c r="C25"/>
  <c r="E42"/>
  <c r="F42" s="1"/>
  <c r="E40"/>
  <c r="F40" s="1"/>
  <c r="E38"/>
  <c r="F38" s="1"/>
  <c r="E36"/>
  <c r="F36" s="1"/>
  <c r="E34"/>
  <c r="F34" s="1"/>
  <c r="E32"/>
  <c r="F32" s="1"/>
  <c r="E30"/>
  <c r="F30" s="1"/>
  <c r="E27"/>
  <c r="F27" s="1"/>
  <c r="E25"/>
  <c r="F25" s="1"/>
  <c r="E41"/>
  <c r="F41" s="1"/>
  <c r="E39"/>
  <c r="F39" s="1"/>
  <c r="E37"/>
  <c r="F37" s="1"/>
  <c r="E35"/>
  <c r="F35" s="1"/>
  <c r="E33"/>
  <c r="F33" s="1"/>
  <c r="E31"/>
  <c r="F31" s="1"/>
  <c r="E29"/>
  <c r="F29" s="1"/>
  <c r="E28"/>
  <c r="F28" s="1"/>
  <c r="E26"/>
  <c r="F26" s="1"/>
  <c r="C15" i="83" l="1"/>
  <c r="C13"/>
  <c r="C21"/>
  <c r="F20" i="97"/>
  <c r="N20" s="1"/>
  <c r="N46" s="1"/>
  <c r="F20" i="96"/>
  <c r="N20" s="1"/>
  <c r="N46" s="1"/>
  <c r="F20" i="2"/>
  <c r="N20" s="1"/>
  <c r="C17" i="83"/>
  <c r="C14"/>
  <c r="M66" i="97" l="1"/>
  <c r="N62"/>
  <c r="M64" s="1"/>
  <c r="N62" i="96"/>
  <c r="M66"/>
  <c r="M64" l="1"/>
  <c r="G7" i="68"/>
  <c r="G8"/>
  <c r="D18" i="81" l="1"/>
  <c r="G15"/>
  <c r="F15"/>
  <c r="H15" s="1"/>
  <c r="D14"/>
  <c r="G14" s="1"/>
  <c r="D13"/>
  <c r="G13" s="1"/>
  <c r="G12"/>
  <c r="H12" s="1"/>
  <c r="D12"/>
  <c r="G11"/>
  <c r="F11"/>
  <c r="H11" s="1"/>
  <c r="N16" i="2"/>
  <c r="M65" s="1"/>
  <c r="F13" i="81" l="1"/>
  <c r="H13" s="1"/>
  <c r="H22" s="1"/>
  <c r="F14"/>
  <c r="H14" s="1"/>
  <c r="H21" s="1"/>
  <c r="H23" s="1"/>
  <c r="H34" i="2" l="1"/>
  <c r="J34" s="1"/>
  <c r="E35"/>
  <c r="H35" s="1"/>
  <c r="J35" s="1"/>
  <c r="D9" i="91"/>
  <c r="F21" i="13"/>
  <c r="I21" s="1"/>
  <c r="N45" i="2"/>
  <c r="O45"/>
  <c r="H45"/>
  <c r="L34" l="1"/>
  <c r="K34"/>
  <c r="L35"/>
  <c r="K35"/>
  <c r="D8" i="91"/>
  <c r="J21" i="13"/>
  <c r="K21"/>
  <c r="H40" i="2" l="1"/>
  <c r="I44"/>
  <c r="F20" i="13" s="1"/>
  <c r="H44" i="2"/>
  <c r="J40" l="1"/>
  <c r="J44"/>
  <c r="K44" s="1"/>
  <c r="O44"/>
  <c r="I20" i="13"/>
  <c r="N40" i="2"/>
  <c r="F16" i="13"/>
  <c r="I16" s="1"/>
  <c r="K40" i="2"/>
  <c r="L40"/>
  <c r="N44"/>
  <c r="O40"/>
  <c r="L44" l="1"/>
  <c r="J16" i="13"/>
  <c r="K16"/>
  <c r="J20"/>
  <c r="K20"/>
  <c r="I8" l="1"/>
  <c r="J8"/>
  <c r="K8"/>
  <c r="I15"/>
  <c r="K15" s="1"/>
  <c r="I17"/>
  <c r="J17"/>
  <c r="K17"/>
  <c r="N55" i="2"/>
  <c r="N56"/>
  <c r="N43"/>
  <c r="E25" i="18"/>
  <c r="E24"/>
  <c r="E23"/>
  <c r="F10" i="13"/>
  <c r="J23" s="1"/>
  <c r="L23" s="1"/>
  <c r="H19" i="2"/>
  <c r="J19" s="1"/>
  <c r="L19" s="1"/>
  <c r="H55"/>
  <c r="J55" s="1"/>
  <c r="H56"/>
  <c r="J56" s="1"/>
  <c r="H53"/>
  <c r="J53" s="1"/>
  <c r="H57"/>
  <c r="J57" s="1"/>
  <c r="O43"/>
  <c r="O39"/>
  <c r="H39"/>
  <c r="J39" s="1"/>
  <c r="H43"/>
  <c r="H42"/>
  <c r="J42" s="1"/>
  <c r="J43"/>
  <c r="K43" s="1"/>
  <c r="O41"/>
  <c r="O42"/>
  <c r="N42"/>
  <c r="H41"/>
  <c r="H15"/>
  <c r="J15" s="1"/>
  <c r="K15" s="1"/>
  <c r="H16"/>
  <c r="J16" s="1"/>
  <c r="J17"/>
  <c r="K17" s="1"/>
  <c r="J38"/>
  <c r="L38" s="1"/>
  <c r="L14"/>
  <c r="M14" s="1"/>
  <c r="H52"/>
  <c r="J52" s="1"/>
  <c r="O61"/>
  <c r="D37" i="18"/>
  <c r="D36"/>
  <c r="L8" i="13" s="1"/>
  <c r="D35" i="18"/>
  <c r="N53" i="2"/>
  <c r="N52"/>
  <c r="N57"/>
  <c r="I22" i="13"/>
  <c r="J22"/>
  <c r="K22"/>
  <c r="I19"/>
  <c r="J19" s="1"/>
  <c r="I18"/>
  <c r="K18" s="1"/>
  <c r="I11"/>
  <c r="J11"/>
  <c r="K11"/>
  <c r="G9" i="66"/>
  <c r="G10"/>
  <c r="H13" i="2"/>
  <c r="M13"/>
  <c r="H14"/>
  <c r="A11" i="13"/>
  <c r="N39" i="2"/>
  <c r="K38"/>
  <c r="L11" i="13" l="1"/>
  <c r="E26" i="18"/>
  <c r="L22" i="99"/>
  <c r="L8"/>
  <c r="L10"/>
  <c r="L11"/>
  <c r="L17" i="98"/>
  <c r="L11"/>
  <c r="L22"/>
  <c r="L16" i="99"/>
  <c r="L15"/>
  <c r="L8" i="98"/>
  <c r="L21"/>
  <c r="L16"/>
  <c r="L18" i="99"/>
  <c r="L19" i="98"/>
  <c r="L20" i="99"/>
  <c r="L17"/>
  <c r="L21"/>
  <c r="L18" i="98"/>
  <c r="L15"/>
  <c r="L19" i="99"/>
  <c r="L20" i="98"/>
  <c r="L10"/>
  <c r="M28" i="2"/>
  <c r="M29" i="97"/>
  <c r="M29" i="96"/>
  <c r="M30"/>
  <c r="M32" i="97"/>
  <c r="M41"/>
  <c r="M43"/>
  <c r="M20"/>
  <c r="M21"/>
  <c r="M22"/>
  <c r="M25"/>
  <c r="M41" i="96"/>
  <c r="M34"/>
  <c r="M57"/>
  <c r="M25"/>
  <c r="M16"/>
  <c r="M26"/>
  <c r="M39"/>
  <c r="M42"/>
  <c r="M55" i="97"/>
  <c r="M44"/>
  <c r="M54"/>
  <c r="M42"/>
  <c r="M26"/>
  <c r="M30"/>
  <c r="M20" i="96"/>
  <c r="M32"/>
  <c r="M43"/>
  <c r="M40" i="97"/>
  <c r="M39"/>
  <c r="M28" i="96"/>
  <c r="M27"/>
  <c r="M22"/>
  <c r="M53"/>
  <c r="M21"/>
  <c r="M58"/>
  <c r="M19"/>
  <c r="M57" i="97"/>
  <c r="M53"/>
  <c r="M58"/>
  <c r="M16"/>
  <c r="M28"/>
  <c r="M44" i="96"/>
  <c r="M55"/>
  <c r="F20" i="100" s="1"/>
  <c r="M56" i="97"/>
  <c r="M19"/>
  <c r="M23"/>
  <c r="M27"/>
  <c r="M34"/>
  <c r="M35"/>
  <c r="F36" i="100" s="1"/>
  <c r="M52" i="97"/>
  <c r="M54" i="96"/>
  <c r="M23"/>
  <c r="M52"/>
  <c r="F17" i="100" s="1"/>
  <c r="M35" i="96"/>
  <c r="M56"/>
  <c r="F19" i="100" s="1"/>
  <c r="M61" i="97"/>
  <c r="M46"/>
  <c r="M62"/>
  <c r="M40" i="96"/>
  <c r="M61"/>
  <c r="M46"/>
  <c r="M62"/>
  <c r="M30" i="2"/>
  <c r="M58"/>
  <c r="E22" i="100" s="1"/>
  <c r="M54" i="2"/>
  <c r="M26"/>
  <c r="M22"/>
  <c r="M21"/>
  <c r="M20"/>
  <c r="M32"/>
  <c r="M27"/>
  <c r="E18" i="100" s="1"/>
  <c r="M25" i="2"/>
  <c r="M29"/>
  <c r="M34"/>
  <c r="M35"/>
  <c r="L17" i="13"/>
  <c r="L22"/>
  <c r="K19"/>
  <c r="L19"/>
  <c r="J18"/>
  <c r="L18" s="1"/>
  <c r="J15"/>
  <c r="L15" s="1"/>
  <c r="L43" i="2"/>
  <c r="N61"/>
  <c r="L17"/>
  <c r="I10" i="13"/>
  <c r="K19" i="2"/>
  <c r="J41"/>
  <c r="L41" s="1"/>
  <c r="M19"/>
  <c r="L39"/>
  <c r="K39"/>
  <c r="K55"/>
  <c r="L55"/>
  <c r="K57"/>
  <c r="L57"/>
  <c r="K56"/>
  <c r="L56"/>
  <c r="K53"/>
  <c r="L53"/>
  <c r="L15"/>
  <c r="M15" s="1"/>
  <c r="M43"/>
  <c r="L16"/>
  <c r="K16"/>
  <c r="L52"/>
  <c r="J61"/>
  <c r="K52"/>
  <c r="K42"/>
  <c r="L42"/>
  <c r="N41"/>
  <c r="E8" i="66"/>
  <c r="E7"/>
  <c r="L21" i="13"/>
  <c r="L16"/>
  <c r="L20"/>
  <c r="M40" i="2"/>
  <c r="M44"/>
  <c r="O46"/>
  <c r="E5" i="91" s="1"/>
  <c r="E36" i="100" l="1"/>
  <c r="F35"/>
  <c r="F37" s="1"/>
  <c r="E35"/>
  <c r="E37" s="1"/>
  <c r="L24" i="99"/>
  <c r="F8" i="66" s="1"/>
  <c r="H8" s="1"/>
  <c r="G19" i="100"/>
  <c r="G18"/>
  <c r="G17"/>
  <c r="L64" i="96"/>
  <c r="N64" s="1"/>
  <c r="F7" i="68"/>
  <c r="L64" i="97"/>
  <c r="N64" s="1"/>
  <c r="F8" i="68"/>
  <c r="G22" i="100"/>
  <c r="F22"/>
  <c r="F18"/>
  <c r="F21"/>
  <c r="G16"/>
  <c r="G20"/>
  <c r="F16"/>
  <c r="G21"/>
  <c r="L24" i="98"/>
  <c r="F7" i="66" s="1"/>
  <c r="H7" s="1"/>
  <c r="K41" i="2"/>
  <c r="M57"/>
  <c r="E21" i="100" s="1"/>
  <c r="M55" i="2"/>
  <c r="E20" i="100" s="1"/>
  <c r="M39" i="2"/>
  <c r="I24" i="13"/>
  <c r="B6" i="66" s="1"/>
  <c r="K10" i="13"/>
  <c r="K24" s="1"/>
  <c r="D6" i="66" s="1"/>
  <c r="J10" i="13"/>
  <c r="M42" i="2"/>
  <c r="K61"/>
  <c r="L61"/>
  <c r="F5" i="91" s="1"/>
  <c r="M41" i="2"/>
  <c r="M52"/>
  <c r="E17" i="100" s="1"/>
  <c r="M16" i="2"/>
  <c r="M53"/>
  <c r="E16" i="100" s="1"/>
  <c r="M56" i="2"/>
  <c r="E19" i="100" s="1"/>
  <c r="O62" i="2"/>
  <c r="C18" i="100" l="1"/>
  <c r="C16"/>
  <c r="C36"/>
  <c r="D35"/>
  <c r="D37" s="1"/>
  <c r="D36"/>
  <c r="F23"/>
  <c r="G23"/>
  <c r="C20"/>
  <c r="C22"/>
  <c r="C21"/>
  <c r="E23"/>
  <c r="C17"/>
  <c r="J24" i="13"/>
  <c r="L10"/>
  <c r="L24" s="1"/>
  <c r="F6" i="66" s="1"/>
  <c r="H6" s="1"/>
  <c r="H9" s="1"/>
  <c r="B10"/>
  <c r="B9"/>
  <c r="D9"/>
  <c r="D10"/>
  <c r="M61" i="2"/>
  <c r="E9" i="91"/>
  <c r="C13" s="1"/>
  <c r="E8"/>
  <c r="N19" i="2"/>
  <c r="N46" s="1"/>
  <c r="M66" s="1"/>
  <c r="E8" i="68"/>
  <c r="C6" i="66" l="1"/>
  <c r="E6" s="1"/>
  <c r="H10"/>
  <c r="F9"/>
  <c r="F10"/>
  <c r="F9" i="91"/>
  <c r="C16" s="1"/>
  <c r="F8"/>
  <c r="E7" i="68"/>
  <c r="C10" i="66" l="1"/>
  <c r="E10"/>
  <c r="E9"/>
  <c r="C9"/>
  <c r="N62" i="2"/>
  <c r="H7" i="68" l="1"/>
  <c r="M64" i="2"/>
  <c r="G6" i="68"/>
  <c r="H8" l="1"/>
  <c r="G9"/>
  <c r="G10" l="1"/>
  <c r="C18" i="91" s="1"/>
  <c r="L23" i="2" l="1"/>
  <c r="L46" s="1"/>
  <c r="L62" s="1"/>
  <c r="D6" i="68" s="1"/>
  <c r="D10" s="1"/>
  <c r="J46" i="2"/>
  <c r="J62" s="1"/>
  <c r="K23"/>
  <c r="K46" s="1"/>
  <c r="D9" i="68"/>
  <c r="K62" i="2" l="1"/>
  <c r="C6" i="68" s="1"/>
  <c r="C10" s="1"/>
  <c r="C5" i="91"/>
  <c r="C8" s="1"/>
  <c r="C11" s="1"/>
  <c r="C9" i="68"/>
  <c r="M46" i="2"/>
  <c r="M23"/>
  <c r="B6" i="68"/>
  <c r="E6" s="1"/>
  <c r="M62" i="2"/>
  <c r="C19" i="100" l="1"/>
  <c r="C23" s="1"/>
  <c r="C35"/>
  <c r="C37" s="1"/>
  <c r="K64" i="2"/>
  <c r="C9" i="91"/>
  <c r="C15" s="1"/>
  <c r="B9" i="68"/>
  <c r="B10"/>
  <c r="L64" i="2"/>
  <c r="N64" s="1"/>
  <c r="F6" i="68"/>
  <c r="C12" i="91" l="1"/>
  <c r="C14" s="1"/>
  <c r="F9" i="68"/>
  <c r="F10"/>
  <c r="H6"/>
  <c r="E9"/>
  <c r="E10"/>
  <c r="H10" l="1"/>
  <c r="H9"/>
</calcChain>
</file>

<file path=xl/sharedStrings.xml><?xml version="1.0" encoding="utf-8"?>
<sst xmlns="http://schemas.openxmlformats.org/spreadsheetml/2006/main" count="1172" uniqueCount="415">
  <si>
    <t>(B)</t>
  </si>
  <si>
    <t>(C)</t>
  </si>
  <si>
    <t>(D)</t>
  </si>
  <si>
    <t>(E)</t>
  </si>
  <si>
    <t>(F)</t>
  </si>
  <si>
    <t>EPA</t>
  </si>
  <si>
    <t>Management</t>
  </si>
  <si>
    <t>Clerical</t>
  </si>
  <si>
    <t>Occurrences</t>
  </si>
  <si>
    <t>Hours</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</si>
  <si>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</si>
  <si>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</si>
  <si>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</si>
  <si>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</si>
  <si>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</si>
  <si>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</si>
  <si>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</si>
  <si>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</si>
  <si>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</si>
  <si>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</si>
  <si>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</si>
  <si>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</si>
  <si>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</si>
  <si>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</si>
  <si>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</si>
  <si>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</si>
  <si>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</si>
  <si>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</si>
  <si>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</si>
  <si>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</si>
  <si>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</si>
  <si>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</si>
  <si>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</si>
  <si>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</si>
  <si>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</si>
  <si>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 xml:space="preserve">Travel expenses:  (1 person *  30 hours per year / 8 hours per day * $75 per diem) + ($600 per round trip) = </t>
  </si>
  <si>
    <t>per trip</t>
  </si>
  <si>
    <t>(A)</t>
  </si>
  <si>
    <t>(G)</t>
  </si>
  <si>
    <t>Number of</t>
  </si>
  <si>
    <t>Technical</t>
  </si>
  <si>
    <t>Total</t>
  </si>
  <si>
    <t xml:space="preserve">Total </t>
  </si>
  <si>
    <t>Footnotes</t>
  </si>
  <si>
    <t>Respondents</t>
  </si>
  <si>
    <t>Labor Costs</t>
  </si>
  <si>
    <t>(Technical</t>
  </si>
  <si>
    <t>Respondent</t>
  </si>
  <si>
    <t>hours)</t>
  </si>
  <si>
    <t>Surveys and Studies</t>
  </si>
  <si>
    <t>Reporting Requirements</t>
  </si>
  <si>
    <t>e</t>
  </si>
  <si>
    <t>Report Preparation</t>
  </si>
  <si>
    <t>d</t>
  </si>
  <si>
    <t xml:space="preserve">TOTAL: </t>
  </si>
  <si>
    <t>Total Hours</t>
  </si>
  <si>
    <t>a</t>
  </si>
  <si>
    <t>b</t>
  </si>
  <si>
    <t>One-time only costs.</t>
  </si>
  <si>
    <t>Figures may not add exactly due to rounding.</t>
  </si>
  <si>
    <t>Summary of Respondent Burden</t>
  </si>
  <si>
    <t>Labor</t>
  </si>
  <si>
    <t>Non-Labor</t>
  </si>
  <si>
    <t>Costs</t>
  </si>
  <si>
    <t>Hours per</t>
  </si>
  <si>
    <t>TOTAL</t>
  </si>
  <si>
    <t>4.  Recordkeeping Requirements</t>
  </si>
  <si>
    <t>A.  Read Instructions</t>
  </si>
  <si>
    <t>FOOTNOTES</t>
  </si>
  <si>
    <t>Parameters/Costs</t>
  </si>
  <si>
    <t>Equation</t>
  </si>
  <si>
    <t>A. Parameters</t>
  </si>
  <si>
    <t>Notes:</t>
  </si>
  <si>
    <t>Sources:</t>
  </si>
  <si>
    <t>Values</t>
  </si>
  <si>
    <t>B. Testing Costs, $</t>
  </si>
  <si>
    <t>Note:</t>
  </si>
  <si>
    <t>2.  Required activities</t>
  </si>
  <si>
    <t xml:space="preserve">    a.  Perf. spec. tests (certif.) for CMS</t>
  </si>
  <si>
    <t>2.  Person-hours per occurrence for CMS performance specification costs are based on the performance specification costs to certify CMS ($700) divided by the composite hourly</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</si>
  <si>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</si>
  <si>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</si>
  <si>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t>Recordkeeping Subtotal</t>
  </si>
  <si>
    <t>ReportingSubtotal</t>
  </si>
  <si>
    <t>Responses</t>
  </si>
  <si>
    <t>Hourly Mean Wage</t>
  </si>
  <si>
    <t>With  Fringe &amp; Overhead</t>
  </si>
  <si>
    <t>Average</t>
  </si>
  <si>
    <t>from http://www.opm.gov/oca/10tables/</t>
  </si>
  <si>
    <t>Source: http://www.opm.gov/oca/10tables/pdf/gs_h.pdf</t>
  </si>
  <si>
    <t>Year</t>
  </si>
  <si>
    <t>i</t>
  </si>
  <si>
    <t>Technical Hours</t>
  </si>
  <si>
    <t>Management Hours</t>
  </si>
  <si>
    <t>Clerical Hours</t>
  </si>
  <si>
    <t>Total Costs</t>
  </si>
  <si>
    <t>EPA Hours Per Occurrence</t>
  </si>
  <si>
    <t>3)</t>
  </si>
  <si>
    <t>4)</t>
  </si>
  <si>
    <t>Tech Hours Per Year (C=AxB)</t>
  </si>
  <si>
    <t>Clerical Hours Per Year (E=Cx0.1)</t>
  </si>
  <si>
    <t>EPA Cost Per Year (a,b)</t>
  </si>
  <si>
    <t>Number of Occurrences Per Year</t>
  </si>
  <si>
    <t>Management Hours Per Year (D=Cx0.05)</t>
  </si>
  <si>
    <t>Cost incurred by a facility regardless of the number of affected units at the plant.</t>
  </si>
  <si>
    <t>Annual cost.  Annual costs are not incurred until the second year of operation.</t>
  </si>
  <si>
    <t>Labor Type</t>
  </si>
  <si>
    <t>a,d</t>
  </si>
  <si>
    <t>labor rate ($66.41/hr).</t>
  </si>
  <si>
    <t>(GS- 13, step 5) - Mgmt.</t>
  </si>
  <si>
    <t>(GS- 12, step 1) - Tech.</t>
  </si>
  <si>
    <t>(GS-6, step 3) - Cler.</t>
  </si>
  <si>
    <t>Initial Capital and Startup</t>
  </si>
  <si>
    <t>Annualized Capital/Start-up and O &amp; M</t>
  </si>
  <si>
    <t>Non-Labor (Annualized Capital/Startup and O&amp;M) Costs</t>
  </si>
  <si>
    <t>Non-Labor Costs</t>
  </si>
  <si>
    <t>Using four hours per state to write annual summary report.</t>
  </si>
  <si>
    <t>1)</t>
  </si>
  <si>
    <t>2)</t>
  </si>
  <si>
    <t>Sector and SOC Code*</t>
  </si>
  <si>
    <r>
      <t>Hourly mean wage</t>
    </r>
    <r>
      <rPr>
        <sz val="8"/>
        <rFont val="Arial"/>
        <family val="2"/>
      </rPr>
      <t xml:space="preserve"> (From OES tables)</t>
    </r>
  </si>
  <si>
    <r>
      <t>Loaded Rate</t>
    </r>
    <r>
      <rPr>
        <sz val="8"/>
        <rFont val="Arial"/>
        <family val="2"/>
      </rPr>
      <t xml:space="preserve"> (Rate + 110%rate)</t>
    </r>
  </si>
  <si>
    <t>Mgmt.</t>
  </si>
  <si>
    <t>Tech.</t>
  </si>
  <si>
    <t>Cler.</t>
  </si>
  <si>
    <t xml:space="preserve">      Composite labor rate</t>
  </si>
  <si>
    <t xml:space="preserve">      Contractor</t>
  </si>
  <si>
    <t>http://www.bls.gov/oes/current/naics4_999300.htm</t>
  </si>
  <si>
    <t>j</t>
  </si>
  <si>
    <t>N/A</t>
  </si>
  <si>
    <t>Incl. in 3.B</t>
  </si>
  <si>
    <t>Incl. in 3.E</t>
  </si>
  <si>
    <t>Incl. in 3.A</t>
  </si>
  <si>
    <t>Managerial</t>
  </si>
  <si>
    <t>l</t>
  </si>
  <si>
    <t>B.  Implement Activities</t>
  </si>
  <si>
    <t xml:space="preserve">1. CE Plant Cost index </t>
  </si>
  <si>
    <t xml:space="preserve">    a. 2010 (Feb 10 Final CE Index)</t>
  </si>
  <si>
    <t>b. 2009 (Annual CE Index)</t>
  </si>
  <si>
    <t xml:space="preserve">    c. 1992 (Annual CE Index)</t>
  </si>
  <si>
    <t>1. Method 1 or 1A</t>
  </si>
  <si>
    <t>Included as part of M 23</t>
  </si>
  <si>
    <t>2. Method 26 (HCl)</t>
  </si>
  <si>
    <t xml:space="preserve">= $5,000 x (539.1/358.2) </t>
  </si>
  <si>
    <t>3. Method 23 (CDD/CDF)</t>
  </si>
  <si>
    <t>= $21,000 x (539.1/358.2) - $5,000</t>
  </si>
  <si>
    <t>CRF (20 yr, 7%):</t>
  </si>
  <si>
    <t>(0.07*(1+0.07)^20)/((1+0.07)^20-1)</t>
  </si>
  <si>
    <t>1. Initial testing costs to be annualized over 20 years at 7% interest.</t>
  </si>
  <si>
    <t>2.  Testing costs have been rounded to the nearest $1,000  to be consistent with level of rounding in original costs; costs also adjusted based on additional information from EPA.</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</si>
  <si>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</si>
  <si>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</si>
  <si>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t>
  </si>
  <si>
    <t>4. Conversation with Ray Merrill, ERG - 11/5/2010.</t>
  </si>
  <si>
    <t>Resin Sampling and Monitoring</t>
  </si>
  <si>
    <t xml:space="preserve">Initial Compliance </t>
  </si>
  <si>
    <t>Total Compliance Cost</t>
  </si>
  <si>
    <t>Annual Cost of Initial Compliance</t>
  </si>
  <si>
    <t>Monitoring</t>
  </si>
  <si>
    <t>Company</t>
  </si>
  <si>
    <t>Location</t>
  </si>
  <si>
    <t>TAC of Resin Testing</t>
  </si>
  <si>
    <t>*National Environmental Methods Index Website https://www.nemi.gov/apex/f?p=237:38:951365369293524::::P38_METHOD_ID:7041</t>
  </si>
  <si>
    <t>Wastewater Sampling and Monitoring</t>
  </si>
  <si>
    <t>4) Continuous parameter monitoring</t>
  </si>
  <si>
    <t>1) Initial Notification</t>
  </si>
  <si>
    <t>C.  Develop Record System</t>
  </si>
  <si>
    <t>D.  Record Information</t>
  </si>
  <si>
    <t>E. Personnel Training</t>
  </si>
  <si>
    <t>F. Time for Audits</t>
  </si>
  <si>
    <t>These rates are from the United States Department of Labor, Bureau of Labor Statistics, September 2009, ATable 2. Civilian Workers, by occupational and industry group.@  The rates are from column 1, ATotal compensation.@  The rates have been increased by 110 percent to account for the benefit packages available to those employed by private industry.</t>
  </si>
  <si>
    <t>3) Establish operating parameters and monitoring plan</t>
  </si>
  <si>
    <t>1) Records of process vent requirements</t>
  </si>
  <si>
    <t>Review notification of compliance status</t>
  </si>
  <si>
    <t>1) Initial performance test, sampling, and report</t>
  </si>
  <si>
    <t>2) Periodic performance test, sampling, and report</t>
  </si>
  <si>
    <t>Observe initial performance tests</t>
  </si>
  <si>
    <t>Review initial notification</t>
  </si>
  <si>
    <t>Review notification of performance test</t>
  </si>
  <si>
    <t>Review compliance report</t>
  </si>
  <si>
    <t>4.</t>
  </si>
  <si>
    <t>Year 1</t>
  </si>
  <si>
    <t>Year 2</t>
  </si>
  <si>
    <t>Year 3</t>
  </si>
  <si>
    <r>
      <t>tests per month for each type of resin x 2 strippers</t>
    </r>
    <r>
      <rPr>
        <vertAlign val="superscript"/>
        <sz val="10"/>
        <rFont val="Arial"/>
        <family val="2"/>
      </rPr>
      <t>2</t>
    </r>
  </si>
  <si>
    <t>2. Average number of strippers calculated from facility submitted survey data</t>
  </si>
  <si>
    <r>
      <t>outlet tests x 2 strippers</t>
    </r>
    <r>
      <rPr>
        <vertAlign val="superscript"/>
        <sz val="10"/>
        <rFont val="Arial"/>
        <family val="2"/>
      </rPr>
      <t>2</t>
    </r>
  </si>
  <si>
    <t>Process Vents Emission Testing Costs</t>
  </si>
  <si>
    <t>Testing Freq.*</t>
  </si>
  <si>
    <t>Annual Cost fo Test</t>
  </si>
  <si>
    <t xml:space="preserve">Annual Cost of Initial Test </t>
  </si>
  <si>
    <t>TAC of Testing</t>
  </si>
  <si>
    <t>4. Method 25A (THC)</t>
  </si>
  <si>
    <t>=$6,000x(539.1/521.9)</t>
  </si>
  <si>
    <t xml:space="preserve">C. </t>
  </si>
  <si>
    <t>D. Facility Totals</t>
  </si>
  <si>
    <t>1. HCl, TOH, &amp;VC</t>
  </si>
  <si>
    <t>2. CDD/CDF</t>
  </si>
  <si>
    <t>3. Facility Total</t>
  </si>
  <si>
    <t>* Number of Years Between Tests</t>
  </si>
  <si>
    <t>2) Batch precompliance report</t>
  </si>
  <si>
    <t>3) Notification of performance test with test plan</t>
  </si>
  <si>
    <t>4) Notification of compliance status</t>
  </si>
  <si>
    <t>5) Compliance report</t>
  </si>
  <si>
    <t>6) Notice of inspection</t>
  </si>
  <si>
    <t>7) Affirmative defense</t>
  </si>
  <si>
    <t>Table 1 - Annual Respondent Burden and Cost of Recordkeeping and Reporting Requirements of the MACT Floor</t>
  </si>
  <si>
    <t>Table 4 - Summary of Annual Respondent Burden and Cost of Recordkeeping and Reporting Requirements of the MACT Floor for Existing Sources: Polyvinyl Chloride and Copolymer Manufacturing Units</t>
  </si>
  <si>
    <t xml:space="preserve">Table 5 - Annual Designated Administrator Burden and Cost of Recordkeeping and Reporting Requirements of the MACT Floor for Existing Sources: Polyvinyl Chloride and Copolymer Manufacturing Units - Year 1        </t>
  </si>
  <si>
    <t xml:space="preserve">Table 8 - Summary of Annual Designated Administrator Burden and Cost of Recordkeeping and Reporting Requirements of the MACT Floor for Existing Sources: Polyvinyl Chloride and Copolymer Manufacturing Units        </t>
  </si>
  <si>
    <t>a,b</t>
  </si>
  <si>
    <t>Review batch precompliance report</t>
  </si>
  <si>
    <t>5)</t>
  </si>
  <si>
    <t>6)</t>
  </si>
  <si>
    <t>7)</t>
  </si>
  <si>
    <t>Review notice of inspection</t>
  </si>
  <si>
    <t>Review affirmative defense</t>
  </si>
  <si>
    <t>Reporting</t>
  </si>
  <si>
    <t>Recordkeeping</t>
  </si>
  <si>
    <t># of Respondents</t>
  </si>
  <si>
    <t># of Responses</t>
  </si>
  <si>
    <t>Average Annual</t>
  </si>
  <si>
    <t>Total hours</t>
  </si>
  <si>
    <t>Hours per year</t>
  </si>
  <si>
    <t># of responses per respondent (annual)</t>
  </si>
  <si>
    <t>Hours per response (annual)</t>
  </si>
  <si>
    <t>Reporting hours per response (annual)</t>
  </si>
  <si>
    <t>Recorkeeping hours per response (annual)</t>
  </si>
  <si>
    <t>g</t>
  </si>
  <si>
    <t>Hours for affirmative defense are shown only for illustration and are not included in the total burden estimate</t>
  </si>
  <si>
    <t>Formosa - Baton Rouge</t>
  </si>
  <si>
    <t>Formosa - Delaware City</t>
  </si>
  <si>
    <t>Formosa - Point Comfort</t>
  </si>
  <si>
    <t>Georgia Gulf - Aberdeen</t>
  </si>
  <si>
    <t>Georgia Gulf - Plaquemine</t>
  </si>
  <si>
    <t>OxyVinyls - Pasadena</t>
  </si>
  <si>
    <t>OxyVinyls - Pedricktown</t>
  </si>
  <si>
    <t>PolyOne - Henry</t>
  </si>
  <si>
    <t>Shintech - Addis</t>
  </si>
  <si>
    <t>Shintech - Freeport</t>
  </si>
  <si>
    <t>Shintech - Plaquemine</t>
  </si>
  <si>
    <t>Dow - Midland</t>
  </si>
  <si>
    <t>Westlake - Calvert City</t>
  </si>
  <si>
    <t>Westlake - Geismar</t>
  </si>
  <si>
    <t>40CFR61 V</t>
  </si>
  <si>
    <t>40CFR63 UU</t>
  </si>
  <si>
    <t>LDAR Cost increase for V to UU</t>
  </si>
  <si>
    <t>5. Method 18 (assumed cost is equal to Method SW 846 0031)</t>
  </si>
  <si>
    <t>PolyOne - Pedricktown</t>
  </si>
  <si>
    <t>a) Process Vents</t>
  </si>
  <si>
    <t>b) Resins</t>
  </si>
  <si>
    <t>Low</t>
  </si>
  <si>
    <t>High</t>
  </si>
  <si>
    <t>Cost of US EPA Method 8260B [1]</t>
  </si>
  <si>
    <t>`= (3 inlet tests*Avg Cost*2 Strippers)*CRF</t>
  </si>
  <si>
    <t>Initial Compliance Costs</t>
  </si>
  <si>
    <t>Annualized Initial Compliance Costs</t>
  </si>
  <si>
    <t>Dispersion</t>
  </si>
  <si>
    <t>Suspension</t>
  </si>
  <si>
    <t>Copolymer (VDCO-S)</t>
  </si>
  <si>
    <t>Copolymer (VACO-D)</t>
  </si>
  <si>
    <t>Suspension Blending</t>
  </si>
  <si>
    <t>1. National Environmental Methods Index Website https://www.nemi.gov/apex/f?p=237:38:951365369293524::::P38_METHOD_ID:7041</t>
  </si>
  <si>
    <t>c) wastewater</t>
  </si>
  <si>
    <t>Cost of US EPA Method 8260B</t>
  </si>
  <si>
    <t>Cost of US EPA Method 305</t>
  </si>
  <si>
    <t>http://analyticallaboratories.com/page.cfm?pageid=90 (Cost of Volatile Organics)</t>
  </si>
  <si>
    <t>Cost of US EPA Method 107</t>
  </si>
  <si>
    <t xml:space="preserve">Assume no cost since facilities are presumably already testing VC (Based on VI submitted data). </t>
  </si>
  <si>
    <t>Initial Uncontrolled Stream Testing</t>
  </si>
  <si>
    <t>Number of Uncontrolled Streams (As reported in survey data)</t>
  </si>
  <si>
    <t>Number of Uncontrolled Streams with average for missing data</t>
  </si>
  <si>
    <t>Count of Wastewater StreamID_STD</t>
  </si>
  <si>
    <t>FacilityName</t>
  </si>
  <si>
    <t>Formosa Plastics Corporation Baton Rouge</t>
  </si>
  <si>
    <t>Georgia Gulf Chemicals Aberdeen Facility</t>
  </si>
  <si>
    <t>Lake Charles Polymer Plant</t>
  </si>
  <si>
    <t>OxyVinyls Deer Park</t>
  </si>
  <si>
    <t>OxyVinyls Pasadena</t>
  </si>
  <si>
    <t>PolyOne Henry</t>
  </si>
  <si>
    <t>Shintech Addis</t>
  </si>
  <si>
    <t>Shintech Freeport</t>
  </si>
  <si>
    <t>Shintech Plaquemine</t>
  </si>
  <si>
    <t>Union Carbide Texas City</t>
  </si>
  <si>
    <t>Westlake Calvert City</t>
  </si>
  <si>
    <t>Westlake Geismar</t>
  </si>
  <si>
    <t>Grand Total</t>
  </si>
  <si>
    <t>d) heat exchangers</t>
  </si>
  <si>
    <t>e) equipment leaks</t>
  </si>
  <si>
    <t>a) Initial capital costs (PRD Electronic Monitor)</t>
  </si>
  <si>
    <t>b) Annualized capital and O&amp;M costs (PRD Electronic Monitor)</t>
  </si>
  <si>
    <t>2) Records of resin stripper requirements</t>
  </si>
  <si>
    <t>3) Records wastewater requirements</t>
  </si>
  <si>
    <t>4) Records of storage vessel requirements</t>
  </si>
  <si>
    <t>5) Records of equipment leak requirements</t>
  </si>
  <si>
    <t>6) Records of heat exchanger requirements</t>
  </si>
  <si>
    <t>7) Records of other emission sources requirements</t>
  </si>
  <si>
    <t>for Existing Major Sources: Polyvinyl Chloride and Copolymer Manufacturing Units - Year 1</t>
  </si>
  <si>
    <t>a,b,c</t>
  </si>
  <si>
    <t>a,e</t>
  </si>
  <si>
    <t>h</t>
  </si>
  <si>
    <t>(H)</t>
  </si>
  <si>
    <t>(C=A x C</t>
  </si>
  <si>
    <t>(F x 0.05)</t>
  </si>
  <si>
    <t>(F x 0.1)</t>
  </si>
  <si>
    <t>(D x E)</t>
  </si>
  <si>
    <t>a,f</t>
  </si>
  <si>
    <t>k</t>
  </si>
  <si>
    <t>b,k</t>
  </si>
  <si>
    <t xml:space="preserve">Reporting subtotal does not include capital costs for PRD monitoring system.  </t>
  </si>
  <si>
    <t>Table 2 - Annual Respondent Burden and Cost of Recordkeeping and Reporting Requirements of the MACT Floor</t>
  </si>
  <si>
    <t>for Existing Major Sources: Polyvinyl Chloride and Copolymer Manufacturing Units - Year 2</t>
  </si>
  <si>
    <t>for Existing Major Sources: Polyvinyl Chloride and Copolymer Manufacturing Units - Year 3</t>
  </si>
  <si>
    <t>Table 3 - Annual Respondent Burden and Cost of Recordkeeping and Reporting Requirements of the MACT Floor</t>
  </si>
  <si>
    <t>Assumes EPA personnel attend 20 percent of the initial process vent stack tests.</t>
  </si>
  <si>
    <t>Assume 10% of major source facilities (16) have emission exceedances.</t>
  </si>
  <si>
    <t>n/a</t>
  </si>
  <si>
    <t>Other Sources</t>
  </si>
  <si>
    <t>Heat Exchange Systems</t>
  </si>
  <si>
    <t>Storage Vessels</t>
  </si>
  <si>
    <t>Equipment Leaks</t>
  </si>
  <si>
    <t>Wastewater</t>
  </si>
  <si>
    <t>Process Vents</t>
  </si>
  <si>
    <t>Resins</t>
  </si>
  <si>
    <t>Yr 3</t>
  </si>
  <si>
    <t>Yr 2</t>
  </si>
  <si>
    <t>Yr 1</t>
  </si>
  <si>
    <t>Record Keeping and Reporting Burden By Emission Point</t>
  </si>
  <si>
    <t>Initial Cost
($)</t>
  </si>
  <si>
    <t>Annual Cost ($/yr)</t>
  </si>
  <si>
    <t>Initial Notes</t>
  </si>
  <si>
    <t>Labor/Non Labor Costs to "Read/Understand Rule Requirements" divided by 7 emission points</t>
  </si>
  <si>
    <t>Initial Performance Test/Sampling/Report</t>
  </si>
  <si>
    <t>Establishment of operating parameters and monitoring plan</t>
  </si>
  <si>
    <t>Report preparation for item 3.E.1-6 divided by 7 emission points</t>
  </si>
  <si>
    <t>a,b,c,d</t>
  </si>
  <si>
    <t>a,b,d</t>
  </si>
  <si>
    <t>Annual Notes</t>
  </si>
  <si>
    <t>Periodic sampling/testing/and monitoring (not applicable for process vents in year 1)</t>
  </si>
  <si>
    <t>In year 2 and 3, recordkeeping items under 4.D are included</t>
  </si>
  <si>
    <t>includes annual labor cost for PRD monitoring system</t>
  </si>
  <si>
    <t>e,f,g</t>
  </si>
  <si>
    <t>e,f,g,h</t>
  </si>
  <si>
    <t>Years 2 and 3 include items 3.E.5 and 3.E.6 divided by 7 emission points</t>
  </si>
  <si>
    <t>Emission Point</t>
  </si>
  <si>
    <t>Record Keeping and Reporting Burden by Emission Point</t>
  </si>
  <si>
    <t xml:space="preserve">Note: This table is used to caluclate the record keeping and reporting burden by emission point for the PVC NESHAP. The costs presented </t>
  </si>
  <si>
    <t xml:space="preserve">in the table below represent costs not otherwise included in the PVC NESHAP Impact estimate (i.e., testing and monitoring costs are already </t>
  </si>
  <si>
    <t xml:space="preserve">included in the PVC NESHAP impacts estimate, therefore, they are not included in the table below). The costs presented in the table below </t>
  </si>
  <si>
    <t xml:space="preserve">should be added to the previously calculated PVC Impacts to obtain an impacts estimate which includes record keeping and reporting. </t>
  </si>
  <si>
    <t>d) uncontrolled wastewater</t>
  </si>
  <si>
    <t>e) heat exchangers</t>
  </si>
  <si>
    <t>f) equipment leaks</t>
  </si>
  <si>
    <t>WastewaterTesting and Sampling Cost Estimate</t>
  </si>
  <si>
    <t>Hourly Rate Determinations</t>
  </si>
  <si>
    <t>Polyvinyl Chloride and Copolymers (PVC) Production</t>
  </si>
  <si>
    <t>Worksheet Name</t>
  </si>
  <si>
    <t xml:space="preserve">Description </t>
  </si>
  <si>
    <t>PVC YR 1</t>
  </si>
  <si>
    <t>PVC YR 2</t>
  </si>
  <si>
    <t>PVC YR 3</t>
  </si>
  <si>
    <t>PVC-Summary-PV</t>
  </si>
  <si>
    <t>Record&amp;Reporting Burden Only</t>
  </si>
  <si>
    <t>EPA YR 1</t>
  </si>
  <si>
    <t>EPA YR 2</t>
  </si>
  <si>
    <t>EPA YR 3</t>
  </si>
  <si>
    <t>EPA Summary</t>
  </si>
  <si>
    <t>Process Vent - T&amp;M Costs</t>
  </si>
  <si>
    <t>Resin T&amp;M Costs</t>
  </si>
  <si>
    <t>Wastewater T&amp;M Costs</t>
  </si>
  <si>
    <t>EquipmentLeaks - T&amp;M Costs</t>
  </si>
  <si>
    <t>Hourly Rates</t>
  </si>
  <si>
    <t>NESHAP Burden Estimate for Industry in Year 1</t>
  </si>
  <si>
    <t>NESHAP Burden Estimate for Industry in Year 2</t>
  </si>
  <si>
    <t>NESHAP Burden Estimate for Industry in Year 3</t>
  </si>
  <si>
    <t>Summary of NESHAP Burden Estimate for Industry</t>
  </si>
  <si>
    <t>Calculation of Record Keeping and Reporting Burden for Industry</t>
  </si>
  <si>
    <t>NESHAP Burden Estimate for EPA in Year 1</t>
  </si>
  <si>
    <t>NESHAP Burden Estimate for EPA in Year 2</t>
  </si>
  <si>
    <t>NESHAP Burden Estimate for EPA in Year 3</t>
  </si>
  <si>
    <t>Summary of NESHAP Burden Estimate for EPA</t>
  </si>
  <si>
    <t>Process Vent Testing and Monitoring Costs</t>
  </si>
  <si>
    <t>Stripped Resin Testing and Monitoring Costs</t>
  </si>
  <si>
    <t>Wastewater Testing and Monitoring Costs</t>
  </si>
  <si>
    <t>Equipment Leaks - Testing and Monitoring Costs</t>
  </si>
  <si>
    <t>Hourly Rate Calculations</t>
  </si>
  <si>
    <t xml:space="preserve">process vent testing is required initially and once every five years, therefore no additional costs are expected in additional to the initial testing requirement.  </t>
  </si>
  <si>
    <r>
      <t>LDAR Program</t>
    </r>
    <r>
      <rPr>
        <b/>
        <vertAlign val="superscript"/>
        <sz val="10"/>
        <rFont val="Times New Roman"/>
        <family val="1"/>
      </rPr>
      <t>[1]</t>
    </r>
  </si>
  <si>
    <t>(A) PRV Monitoring System Capital Cost ($)</t>
  </si>
  <si>
    <t>(B) Capital Cost Increase of LDAR ($)</t>
  </si>
  <si>
    <t>(C) TCI ($)
C=A+B</t>
  </si>
  <si>
    <t>(D) Annualized Capital Cost Increase of LDAR</t>
  </si>
  <si>
    <t>(E) Annual Increase in LDAR Cost</t>
  </si>
  <si>
    <t>(F) Total Annualized Increase LDAR Cost
F=D+E</t>
  </si>
  <si>
    <t>(G) Annualize Capital Cost of PRV Monitoring System ($)</t>
  </si>
  <si>
    <t>(H) TAC ($)
H=D+E+G</t>
  </si>
  <si>
    <t>An estimated 42 uncontrolled streams and 15 wastewater stripper outlets (across 15 facilities) are expected to require initial wastewater testing. 15 wastewater stripper outlets are expected to require monthly testing.  42 uncontrolled streams will require annual testing</t>
  </si>
  <si>
    <t>15 major sources in affected source category</t>
  </si>
  <si>
    <t xml:space="preserve">14 major sources are expected to perform testing for process vents.  OxyVinyls Pasadena does not operate a process vent control, but rather sends process vent gas streams to PolyOne Pedricktown for control.  </t>
  </si>
  <si>
    <t xml:space="preserve">18 respondents equivalent to 19 unique combinations of facilities and resin types.  </t>
  </si>
  <si>
    <t>All heat exchnager testing and monitoring costs assumed to be incurred annually.  23 cooling towers at 15 facilities.</t>
  </si>
  <si>
    <t xml:space="preserve">13 facilities are expected to be required to increase stringency of their LDAR programs to 40 CFR Part 63, Subpart UU.  Non-Labor costs technically include labor to perform LDAR testing in addition to monitoring equipment and maintenance materials.  Respondent hours are an estimation of the additional reporting required by the final rule.  </t>
  </si>
  <si>
    <t>Facilities going from V to UU</t>
  </si>
  <si>
    <t>Incremental BTF Costs for Facilities going from V to UU</t>
  </si>
  <si>
    <t>Equipment Leaks BTF Costs Calculation on a Facility Basis</t>
  </si>
  <si>
    <t>MACT</t>
  </si>
  <si>
    <t>Major Source NESHAP Burden Estimate</t>
  </si>
  <si>
    <t>ATTACHMENT E: RECORDKEEPING AND REPORTING COST ALGORITHM</t>
  </si>
  <si>
    <t xml:space="preserve">Table 6 - Annual Designated Administrator Burden and Cost of Recordkeeping and Reporting Requirements of the MACT Floor for Existing Sources: Polyvinyl Chloride and Copolymer Manufacturing Units - Year 2        </t>
  </si>
  <si>
    <t xml:space="preserve">Table 7 - Annual Designated Administrator Burden and Cost of Recordkeeping and Reporting Requirements of the MACT Floor for Existing Sources: Polyvinyl Chloride and Copolymer Manufacturing Units - Year 3     </t>
  </si>
  <si>
    <t>Hrs_Responses</t>
  </si>
  <si>
    <t>Summary of Hours required by responses</t>
  </si>
  <si>
    <t xml:space="preserve">15 WW Strippers + Sum of Uncontrolled Streams = </t>
  </si>
  <si>
    <t>Response Hours Analysis</t>
  </si>
  <si>
    <t>Cost per response (non-labor)</t>
  </si>
</sst>
</file>

<file path=xl/styles.xml><?xml version="1.0" encoding="utf-8"?>
<styleSheet xmlns="http://schemas.openxmlformats.org/spreadsheetml/2006/main">
  <numFmts count="2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_(&quot;$&quot;* #,##0_);_(&quot;$&quot;* \(#,##0\);_(&quot;$&quot;* &quot;-&quot;??_);_(@_)"/>
    <numFmt numFmtId="171" formatCode="_(&quot;$&quot;* #,##0.00000_);_(&quot;$&quot;* \(#,##0.00000\);_(&quot;$&quot;* &quot;-&quot;?????_);_(@_)"/>
    <numFmt numFmtId="172" formatCode="_(&quot;$&quot;* #,##0_);_(&quot;$&quot;* \(#,##0\);_(&quot;$&quot;* &quot;-&quot;?????_);_(@_)"/>
    <numFmt numFmtId="173" formatCode="_(* #,##0_);_(* \(#,##0\);_(* &quot;-&quot;??_);_(@_)"/>
    <numFmt numFmtId="174" formatCode="[$-409]mmmm\ d\,\ yyyy;@"/>
    <numFmt numFmtId="175" formatCode="_(* #,##0.000_);_(* \(#,##0.000\);_(* &quot;-&quot;??_);_(@_)"/>
    <numFmt numFmtId="176" formatCode="_(* #,##0.0000_);_(* \(#,##0.0000\);_(* &quot;-&quot;??_);_(@_)"/>
    <numFmt numFmtId="177" formatCode="_(* #,##0.00000_);_(* \(#,##0.00000\);_(* &quot;-&quot;??_);_(@_)"/>
  </numFmts>
  <fonts count="51">
    <font>
      <sz val="8"/>
      <name val="Helv"/>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Helv"/>
    </font>
    <font>
      <sz val="8"/>
      <name val="Courier"/>
      <family val="3"/>
    </font>
    <font>
      <sz val="10"/>
      <color indexed="8"/>
      <name val="Arial"/>
      <family val="2"/>
    </font>
    <font>
      <sz val="8"/>
      <name val="Arial"/>
      <family val="2"/>
    </font>
    <font>
      <b/>
      <sz val="10"/>
      <name val="Arial"/>
      <family val="2"/>
    </font>
    <font>
      <sz val="10"/>
      <name val="Arial"/>
      <family val="2"/>
    </font>
    <font>
      <sz val="10"/>
      <name val="Calibri"/>
      <family val="2"/>
    </font>
    <font>
      <sz val="10"/>
      <color indexed="8"/>
      <name val="Arial"/>
      <family val="2"/>
    </font>
    <font>
      <u/>
      <sz val="10"/>
      <name val="Arial"/>
      <family val="2"/>
    </font>
    <font>
      <u/>
      <sz val="10"/>
      <name val="Arial"/>
      <family val="2"/>
    </font>
    <font>
      <u/>
      <sz val="10"/>
      <color indexed="8"/>
      <name val="Arial"/>
      <family val="2"/>
    </font>
    <font>
      <b/>
      <u/>
      <sz val="10"/>
      <name val="Arial"/>
      <family val="2"/>
    </font>
    <font>
      <b/>
      <sz val="12"/>
      <name val="Courier New"/>
      <family val="3"/>
    </font>
    <font>
      <sz val="8"/>
      <name val="Helv"/>
    </font>
    <font>
      <b/>
      <sz val="8"/>
      <name val="Arial"/>
      <family val="2"/>
    </font>
    <font>
      <sz val="8"/>
      <color indexed="8"/>
      <name val="Verdana"/>
      <family val="2"/>
    </font>
    <font>
      <sz val="8"/>
      <name val="Arial"/>
      <family val="2"/>
    </font>
    <font>
      <b/>
      <u/>
      <sz val="8"/>
      <name val="Arial"/>
      <family val="2"/>
    </font>
    <font>
      <sz val="8"/>
      <name val="Verdana"/>
      <family val="2"/>
    </font>
    <font>
      <i/>
      <sz val="8"/>
      <name val="Arial"/>
      <family val="2"/>
    </font>
    <font>
      <sz val="12"/>
      <name val="Arial"/>
      <family val="2"/>
    </font>
    <font>
      <b/>
      <sz val="12"/>
      <name val="Arial"/>
      <family val="2"/>
    </font>
    <font>
      <sz val="22"/>
      <name val="Arial"/>
      <family val="2"/>
    </font>
    <font>
      <sz val="8"/>
      <color indexed="8"/>
      <name val="Arial"/>
      <family val="2"/>
    </font>
    <font>
      <sz val="8"/>
      <color indexed="10"/>
      <name val="Arial"/>
      <family val="2"/>
    </font>
    <font>
      <b/>
      <sz val="9"/>
      <name val="Arial"/>
      <family val="2"/>
    </font>
    <font>
      <sz val="9"/>
      <name val="Arial"/>
      <family val="2"/>
    </font>
    <font>
      <sz val="9"/>
      <color indexed="8"/>
      <name val="Arial"/>
      <family val="2"/>
    </font>
    <font>
      <b/>
      <sz val="9"/>
      <color indexed="8"/>
      <name val="Arial"/>
      <family val="2"/>
    </font>
    <font>
      <u/>
      <sz val="8"/>
      <name val="Arial"/>
      <family val="2"/>
    </font>
    <font>
      <vertAlign val="superscript"/>
      <sz val="10"/>
      <name val="Arial"/>
      <family val="2"/>
    </font>
    <font>
      <sz val="9"/>
      <color indexed="12"/>
      <name val="Arial"/>
      <family val="2"/>
    </font>
    <font>
      <sz val="11"/>
      <name val="Arial"/>
      <family val="2"/>
    </font>
    <font>
      <sz val="9"/>
      <color rgb="FFFF0000"/>
      <name val="Arial"/>
      <family val="2"/>
    </font>
    <font>
      <sz val="8"/>
      <name val="Times New Roman"/>
      <family val="1"/>
    </font>
    <font>
      <sz val="10"/>
      <color rgb="FF0070C0"/>
      <name val="Arial"/>
      <family val="2"/>
    </font>
    <font>
      <b/>
      <sz val="11"/>
      <color theme="1"/>
      <name val="Calibri"/>
      <family val="2"/>
      <scheme val="minor"/>
    </font>
    <font>
      <b/>
      <u val="double"/>
      <sz val="16"/>
      <name val="Helv"/>
    </font>
    <font>
      <u val="double"/>
      <sz val="16"/>
      <name val="Helv"/>
    </font>
    <font>
      <b/>
      <u val="double"/>
      <sz val="16"/>
      <name val="Arial"/>
      <family val="2"/>
    </font>
    <font>
      <b/>
      <sz val="8"/>
      <name val="Calibri"/>
      <family val="2"/>
    </font>
    <font>
      <sz val="8"/>
      <name val="Calibri"/>
      <family val="2"/>
    </font>
    <font>
      <b/>
      <sz val="16"/>
      <name val="Calibri"/>
      <family val="2"/>
    </font>
    <font>
      <b/>
      <sz val="10"/>
      <name val="Calibri"/>
      <family val="2"/>
      <scheme val="minor"/>
    </font>
    <font>
      <b/>
      <sz val="10"/>
      <name val="Times New Roman"/>
      <family val="1"/>
    </font>
    <font>
      <b/>
      <vertAlign val="superscript"/>
      <sz val="10"/>
      <name val="Times New Roman"/>
      <family val="1"/>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1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8"/>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diagonal/>
    </border>
    <border>
      <left/>
      <right/>
      <top/>
      <bottom style="thin">
        <color indexed="8"/>
      </bottom>
      <diagonal/>
    </border>
    <border>
      <left/>
      <right/>
      <top style="thin">
        <color indexed="8"/>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64"/>
      </left>
      <right style="thin">
        <color indexed="64"/>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style="medium">
        <color indexed="64"/>
      </right>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64"/>
      </top>
      <bottom/>
      <diagonal/>
    </border>
    <border>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64"/>
      </bottom>
      <diagonal/>
    </border>
    <border>
      <left/>
      <right style="thin">
        <color indexed="8"/>
      </right>
      <top style="thin">
        <color indexed="8"/>
      </top>
      <bottom style="thin">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medium">
        <color indexed="64"/>
      </left>
      <right/>
      <top style="thin">
        <color indexed="64"/>
      </top>
      <bottom/>
      <diagonal/>
    </border>
    <border>
      <left style="thin">
        <color indexed="8"/>
      </left>
      <right style="thin">
        <color indexed="8"/>
      </right>
      <top style="thin">
        <color indexed="64"/>
      </top>
      <bottom style="thin">
        <color indexed="8"/>
      </bottom>
      <diagonal/>
    </border>
    <border>
      <left style="medium">
        <color indexed="64"/>
      </left>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medium">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bottom style="thin">
        <color indexed="8"/>
      </bottom>
      <diagonal/>
    </border>
    <border>
      <left/>
      <right style="thin">
        <color indexed="64"/>
      </right>
      <top/>
      <bottom style="thin">
        <color indexed="8"/>
      </bottom>
      <diagonal/>
    </border>
    <border>
      <left/>
      <right style="thin">
        <color indexed="8"/>
      </right>
      <top/>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style="thin">
        <color indexed="64"/>
      </right>
      <top style="thin">
        <color indexed="64"/>
      </top>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1">
    <xf numFmtId="164" fontId="0"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6" fillId="0" borderId="0"/>
    <xf numFmtId="0" fontId="4" fillId="0" borderId="0"/>
    <xf numFmtId="0" fontId="4" fillId="0" borderId="0"/>
    <xf numFmtId="0" fontId="7" fillId="0" borderId="0"/>
    <xf numFmtId="164" fontId="5" fillId="0" borderId="0"/>
    <xf numFmtId="0" fontId="4" fillId="0" borderId="0"/>
    <xf numFmtId="0" fontId="3" fillId="0" borderId="0"/>
  </cellStyleXfs>
  <cellXfs count="551">
    <xf numFmtId="164" fontId="0" fillId="0" borderId="0" xfId="0"/>
    <xf numFmtId="0" fontId="10" fillId="0" borderId="0" xfId="4" applyFont="1" applyBorder="1"/>
    <xf numFmtId="0" fontId="12" fillId="0" borderId="9" xfId="4" applyFont="1" applyFill="1" applyBorder="1" applyAlignment="1" applyProtection="1">
      <alignment vertical="top" wrapText="1"/>
    </xf>
    <xf numFmtId="3" fontId="12" fillId="0" borderId="6" xfId="4" applyNumberFormat="1" applyFont="1" applyFill="1" applyBorder="1" applyAlignment="1" applyProtection="1">
      <alignment horizontal="right" vertical="top"/>
    </xf>
    <xf numFmtId="0" fontId="10" fillId="0" borderId="10" xfId="4" applyFont="1" applyBorder="1" applyAlignment="1">
      <alignment vertical="top"/>
    </xf>
    <xf numFmtId="0" fontId="12" fillId="0" borderId="0" xfId="4" applyFont="1" applyFill="1" applyBorder="1" applyAlignment="1" applyProtection="1"/>
    <xf numFmtId="0" fontId="12" fillId="0" borderId="0" xfId="5" applyFont="1" applyFill="1" applyAlignment="1" applyProtection="1"/>
    <xf numFmtId="0" fontId="15" fillId="0" borderId="0" xfId="7" applyFont="1" applyFill="1" applyBorder="1" applyAlignment="1">
      <alignment vertical="top"/>
    </xf>
    <xf numFmtId="0" fontId="10" fillId="0" borderId="0" xfId="5" quotePrefix="1" applyFont="1" applyFill="1" applyBorder="1"/>
    <xf numFmtId="0" fontId="10" fillId="0" borderId="0" xfId="5" applyFont="1" applyFill="1" applyBorder="1"/>
    <xf numFmtId="0" fontId="14" fillId="0" borderId="0" xfId="5" applyFont="1" applyBorder="1"/>
    <xf numFmtId="1" fontId="10" fillId="0" borderId="0" xfId="4" applyNumberFormat="1" applyFont="1" applyBorder="1"/>
    <xf numFmtId="0" fontId="10" fillId="0" borderId="0" xfId="4" applyFont="1" applyFill="1" applyBorder="1"/>
    <xf numFmtId="0" fontId="10" fillId="0" borderId="0" xfId="4" applyFont="1" applyFill="1" applyBorder="1" applyAlignment="1">
      <alignment wrapText="1"/>
    </xf>
    <xf numFmtId="164" fontId="5" fillId="0" borderId="0" xfId="8"/>
    <xf numFmtId="164" fontId="5" fillId="0" borderId="0" xfId="8" applyFill="1"/>
    <xf numFmtId="164" fontId="19" fillId="0" borderId="0" xfId="8" applyFont="1" applyFill="1" applyBorder="1" applyAlignment="1">
      <alignment horizontal="left" vertical="center" wrapText="1"/>
    </xf>
    <xf numFmtId="164" fontId="19" fillId="0" borderId="0" xfId="8" applyFont="1" applyFill="1" applyBorder="1" applyAlignment="1">
      <alignment horizontal="center" vertical="center" wrapText="1"/>
    </xf>
    <xf numFmtId="164" fontId="8" fillId="0" borderId="0" xfId="8" applyFont="1" applyFill="1" applyBorder="1" applyAlignment="1">
      <alignment wrapText="1"/>
    </xf>
    <xf numFmtId="169" fontId="8" fillId="0" borderId="0" xfId="8" applyNumberFormat="1" applyFont="1" applyFill="1" applyBorder="1"/>
    <xf numFmtId="169" fontId="20" fillId="0" borderId="0" xfId="8" applyNumberFormat="1" applyFont="1" applyFill="1" applyBorder="1" applyAlignment="1">
      <alignment horizontal="right" wrapText="1"/>
    </xf>
    <xf numFmtId="164" fontId="10" fillId="0" borderId="0" xfId="8" applyFont="1" applyFill="1" applyBorder="1" applyAlignment="1">
      <alignment horizontal="left" vertical="center" wrapText="1"/>
    </xf>
    <xf numFmtId="164" fontId="0" fillId="4" borderId="0" xfId="0" applyFill="1"/>
    <xf numFmtId="170" fontId="0" fillId="4" borderId="0" xfId="2" applyNumberFormat="1" applyFont="1" applyFill="1"/>
    <xf numFmtId="0" fontId="14" fillId="0" borderId="0" xfId="4" applyFont="1" applyBorder="1"/>
    <xf numFmtId="1" fontId="0" fillId="4" borderId="0" xfId="0" applyNumberFormat="1" applyFill="1"/>
    <xf numFmtId="169" fontId="20" fillId="3" borderId="6" xfId="8" applyNumberFormat="1" applyFont="1" applyFill="1" applyBorder="1" applyAlignment="1">
      <alignment horizontal="right" wrapText="1"/>
    </xf>
    <xf numFmtId="169" fontId="10" fillId="3" borderId="15" xfId="4" applyNumberFormat="1" applyFont="1" applyFill="1" applyBorder="1"/>
    <xf numFmtId="169" fontId="10" fillId="3" borderId="6" xfId="4" applyNumberFormat="1" applyFont="1" applyFill="1" applyBorder="1"/>
    <xf numFmtId="164" fontId="21" fillId="0" borderId="0" xfId="0" applyFont="1" applyFill="1" applyBorder="1" applyAlignment="1">
      <alignment vertical="center"/>
    </xf>
    <xf numFmtId="164" fontId="21" fillId="0" borderId="48" xfId="0" applyFont="1" applyFill="1" applyBorder="1" applyAlignment="1" applyProtection="1">
      <alignment horizontal="left" vertical="center"/>
    </xf>
    <xf numFmtId="164" fontId="21" fillId="0" borderId="4" xfId="0" applyFont="1" applyFill="1" applyBorder="1" applyAlignment="1">
      <alignment vertical="center"/>
    </xf>
    <xf numFmtId="164" fontId="21" fillId="0" borderId="49" xfId="0" applyFont="1" applyFill="1" applyBorder="1" applyAlignment="1">
      <alignment vertical="center"/>
    </xf>
    <xf numFmtId="9" fontId="21" fillId="0" borderId="9" xfId="0" applyNumberFormat="1" applyFont="1" applyFill="1" applyBorder="1" applyAlignment="1" applyProtection="1">
      <alignment horizontal="center" vertical="center"/>
    </xf>
    <xf numFmtId="9" fontId="21" fillId="0" borderId="4" xfId="0" applyNumberFormat="1" applyFont="1" applyFill="1" applyBorder="1" applyAlignment="1" applyProtection="1">
      <alignment vertical="center"/>
    </xf>
    <xf numFmtId="9" fontId="21" fillId="0" borderId="50" xfId="0" applyNumberFormat="1" applyFont="1" applyFill="1" applyBorder="1" applyAlignment="1" applyProtection="1">
      <alignment vertical="center"/>
    </xf>
    <xf numFmtId="164" fontId="21" fillId="0" borderId="50" xfId="0" applyFont="1" applyFill="1" applyBorder="1" applyAlignment="1" applyProtection="1">
      <alignment horizontal="left" vertical="center"/>
    </xf>
    <xf numFmtId="164" fontId="21" fillId="0" borderId="50" xfId="0" applyFont="1" applyFill="1" applyBorder="1" applyAlignment="1">
      <alignment vertical="center"/>
    </xf>
    <xf numFmtId="9" fontId="21" fillId="0" borderId="50" xfId="0" applyNumberFormat="1" applyFont="1" applyFill="1" applyBorder="1" applyAlignment="1" applyProtection="1">
      <alignment horizontal="left" vertical="center"/>
    </xf>
    <xf numFmtId="9" fontId="21" fillId="0" borderId="19" xfId="0" applyNumberFormat="1" applyFont="1" applyFill="1" applyBorder="1" applyAlignment="1" applyProtection="1">
      <alignment horizontal="left" vertical="center"/>
    </xf>
    <xf numFmtId="9" fontId="21" fillId="0" borderId="48" xfId="0" applyNumberFormat="1" applyFont="1" applyFill="1" applyBorder="1" applyAlignment="1" applyProtection="1">
      <alignment horizontal="left" vertical="center"/>
    </xf>
    <xf numFmtId="9" fontId="21" fillId="0" borderId="21" xfId="0" applyNumberFormat="1" applyFont="1" applyFill="1" applyBorder="1" applyAlignment="1" applyProtection="1">
      <alignment horizontal="left" vertical="center"/>
    </xf>
    <xf numFmtId="9" fontId="21" fillId="0" borderId="49" xfId="0" applyNumberFormat="1" applyFont="1" applyFill="1" applyBorder="1" applyAlignment="1" applyProtection="1">
      <alignment horizontal="left" vertical="center"/>
    </xf>
    <xf numFmtId="164" fontId="21" fillId="0" borderId="51" xfId="0" applyFont="1" applyFill="1" applyBorder="1" applyAlignment="1">
      <alignment vertical="center"/>
    </xf>
    <xf numFmtId="164" fontId="21" fillId="0" borderId="52" xfId="0" applyFont="1" applyFill="1" applyBorder="1" applyAlignment="1">
      <alignment vertical="center"/>
    </xf>
    <xf numFmtId="164" fontId="21" fillId="0" borderId="0" xfId="0" applyFont="1" applyFill="1"/>
    <xf numFmtId="164" fontId="21" fillId="0" borderId="0" xfId="0" applyFont="1" applyFill="1" applyBorder="1"/>
    <xf numFmtId="164" fontId="21" fillId="0" borderId="0" xfId="0" applyFont="1" applyFill="1" applyAlignment="1">
      <alignment horizontal="right"/>
    </xf>
    <xf numFmtId="164" fontId="25" fillId="0" borderId="0" xfId="0" applyFont="1" applyFill="1" applyBorder="1"/>
    <xf numFmtId="164" fontId="21" fillId="0" borderId="0" xfId="0" applyFont="1" applyFill="1" applyBorder="1" applyAlignment="1"/>
    <xf numFmtId="164" fontId="21" fillId="0" borderId="0" xfId="0" applyFont="1" applyFill="1" applyProtection="1">
      <protection locked="0"/>
    </xf>
    <xf numFmtId="165" fontId="21" fillId="0" borderId="35" xfId="0" applyNumberFormat="1" applyFont="1" applyFill="1" applyBorder="1" applyProtection="1"/>
    <xf numFmtId="165" fontId="21" fillId="0" borderId="36" xfId="0" applyNumberFormat="1" applyFont="1" applyFill="1" applyBorder="1" applyAlignment="1" applyProtection="1">
      <alignment horizontal="left"/>
    </xf>
    <xf numFmtId="164" fontId="21" fillId="0" borderId="36" xfId="0" applyFont="1" applyFill="1" applyBorder="1"/>
    <xf numFmtId="164" fontId="21" fillId="0" borderId="55" xfId="0" applyFont="1" applyFill="1" applyBorder="1" applyAlignment="1" applyProtection="1">
      <alignment horizontal="center"/>
    </xf>
    <xf numFmtId="164" fontId="21" fillId="0" borderId="58" xfId="0" applyFont="1" applyFill="1" applyBorder="1" applyAlignment="1" applyProtection="1">
      <alignment horizontal="center"/>
    </xf>
    <xf numFmtId="165" fontId="21" fillId="0" borderId="53" xfId="0" applyNumberFormat="1" applyFont="1" applyFill="1" applyBorder="1" applyProtection="1"/>
    <xf numFmtId="165" fontId="21" fillId="0" borderId="0" xfId="0" applyNumberFormat="1" applyFont="1" applyFill="1" applyBorder="1" applyAlignment="1" applyProtection="1">
      <alignment horizontal="left"/>
    </xf>
    <xf numFmtId="164" fontId="21" fillId="0" borderId="60" xfId="0" applyFont="1" applyFill="1" applyBorder="1" applyAlignment="1" applyProtection="1">
      <alignment horizontal="center"/>
    </xf>
    <xf numFmtId="164" fontId="21" fillId="0" borderId="61" xfId="0" applyFont="1" applyFill="1" applyBorder="1" applyAlignment="1" applyProtection="1">
      <alignment horizontal="center"/>
    </xf>
    <xf numFmtId="164" fontId="21" fillId="0" borderId="62" xfId="0" applyFont="1" applyFill="1" applyBorder="1" applyAlignment="1" applyProtection="1">
      <alignment horizontal="center"/>
    </xf>
    <xf numFmtId="164" fontId="21" fillId="0" borderId="63" xfId="0" applyFont="1" applyFill="1" applyBorder="1" applyAlignment="1" applyProtection="1">
      <alignment horizontal="center"/>
    </xf>
    <xf numFmtId="164" fontId="21" fillId="0" borderId="53" xfId="0" applyFont="1" applyFill="1" applyBorder="1"/>
    <xf numFmtId="164" fontId="21" fillId="0" borderId="60" xfId="0" quotePrefix="1" applyFont="1" applyFill="1" applyBorder="1" applyAlignment="1" applyProtection="1">
      <alignment horizontal="center"/>
    </xf>
    <xf numFmtId="164" fontId="21" fillId="0" borderId="63" xfId="0" quotePrefix="1" applyFont="1" applyFill="1" applyBorder="1" applyAlignment="1" applyProtection="1">
      <alignment horizontal="center"/>
    </xf>
    <xf numFmtId="164" fontId="21" fillId="0" borderId="63" xfId="0" applyFont="1" applyFill="1" applyBorder="1" applyAlignment="1">
      <alignment horizontal="center"/>
    </xf>
    <xf numFmtId="164" fontId="21" fillId="0" borderId="52" xfId="0" applyFont="1" applyFill="1" applyBorder="1" applyAlignment="1" applyProtection="1">
      <alignment horizontal="centerContinuous"/>
    </xf>
    <xf numFmtId="164" fontId="21" fillId="0" borderId="51" xfId="0" applyFont="1" applyFill="1" applyBorder="1" applyAlignment="1">
      <alignment horizontal="centerContinuous"/>
    </xf>
    <xf numFmtId="164" fontId="21" fillId="0" borderId="65" xfId="0" applyFont="1" applyFill="1" applyBorder="1" applyAlignment="1">
      <alignment horizontal="center"/>
    </xf>
    <xf numFmtId="164" fontId="21" fillId="0" borderId="66" xfId="0" applyFont="1" applyFill="1" applyBorder="1" applyAlignment="1" applyProtection="1">
      <alignment horizontal="center"/>
    </xf>
    <xf numFmtId="164" fontId="21" fillId="0" borderId="67" xfId="0" applyFont="1" applyFill="1" applyBorder="1" applyAlignment="1" applyProtection="1">
      <alignment horizontal="center"/>
    </xf>
    <xf numFmtId="164" fontId="21" fillId="0" borderId="68" xfId="0" applyFont="1" applyFill="1" applyBorder="1" applyAlignment="1">
      <alignment horizontal="center"/>
    </xf>
    <xf numFmtId="164" fontId="21" fillId="0" borderId="70" xfId="0" applyFont="1" applyFill="1" applyBorder="1" applyAlignment="1" applyProtection="1">
      <alignment horizontal="center" vertical="center"/>
    </xf>
    <xf numFmtId="164" fontId="21" fillId="0" borderId="71" xfId="0" applyFont="1" applyFill="1" applyBorder="1" applyAlignment="1" applyProtection="1">
      <alignment horizontal="left" vertical="center"/>
    </xf>
    <xf numFmtId="164" fontId="21" fillId="0" borderId="71" xfId="0" applyFont="1" applyFill="1" applyBorder="1" applyAlignment="1">
      <alignment vertical="center"/>
    </xf>
    <xf numFmtId="164" fontId="21" fillId="4" borderId="72" xfId="0" applyFont="1" applyFill="1" applyBorder="1" applyAlignment="1">
      <alignment horizontal="center"/>
    </xf>
    <xf numFmtId="164" fontId="21" fillId="0" borderId="72" xfId="0" applyFont="1" applyFill="1" applyBorder="1" applyAlignment="1" applyProtection="1">
      <alignment horizontal="center" vertical="center"/>
      <protection locked="0"/>
    </xf>
    <xf numFmtId="164" fontId="21" fillId="0" borderId="73" xfId="0" applyFont="1" applyFill="1" applyBorder="1" applyAlignment="1">
      <alignment horizontal="center" vertical="center"/>
    </xf>
    <xf numFmtId="165" fontId="21" fillId="0" borderId="73" xfId="0" applyNumberFormat="1" applyFont="1" applyFill="1" applyBorder="1" applyAlignment="1" applyProtection="1">
      <alignment horizontal="center" vertical="center"/>
    </xf>
    <xf numFmtId="165" fontId="21" fillId="0" borderId="56" xfId="0" applyNumberFormat="1" applyFont="1" applyFill="1" applyBorder="1" applyAlignment="1" applyProtection="1">
      <alignment horizontal="center" vertical="center"/>
      <protection locked="0"/>
    </xf>
    <xf numFmtId="164" fontId="21" fillId="0" borderId="56" xfId="0" applyFont="1" applyFill="1" applyBorder="1" applyAlignment="1">
      <alignment horizontal="center" vertical="center"/>
    </xf>
    <xf numFmtId="164" fontId="21" fillId="0" borderId="74" xfId="0" applyFont="1" applyFill="1" applyBorder="1" applyAlignment="1">
      <alignment horizontal="center" vertical="center"/>
    </xf>
    <xf numFmtId="165" fontId="21" fillId="0" borderId="74" xfId="0" applyNumberFormat="1" applyFont="1" applyFill="1" applyBorder="1" applyAlignment="1" applyProtection="1">
      <alignment horizontal="center" vertical="center"/>
    </xf>
    <xf numFmtId="165" fontId="21" fillId="0" borderId="72" xfId="0" applyNumberFormat="1" applyFont="1" applyFill="1" applyBorder="1" applyAlignment="1" applyProtection="1">
      <alignment horizontal="center" vertical="center"/>
    </xf>
    <xf numFmtId="3" fontId="21" fillId="0" borderId="72" xfId="0" applyNumberFormat="1" applyFont="1" applyFill="1" applyBorder="1" applyAlignment="1" applyProtection="1">
      <alignment horizontal="center" vertical="center"/>
    </xf>
    <xf numFmtId="165" fontId="21" fillId="0" borderId="75" xfId="0" applyNumberFormat="1" applyFont="1" applyFill="1" applyBorder="1" applyAlignment="1" applyProtection="1">
      <alignment horizontal="center" vertical="center"/>
    </xf>
    <xf numFmtId="164" fontId="21" fillId="4" borderId="76" xfId="0" applyFont="1" applyFill="1" applyBorder="1" applyAlignment="1">
      <alignment horizontal="center"/>
    </xf>
    <xf numFmtId="164" fontId="21" fillId="0" borderId="77" xfId="0" applyFont="1" applyFill="1" applyBorder="1" applyAlignment="1">
      <alignment horizontal="center" vertical="center"/>
    </xf>
    <xf numFmtId="164" fontId="21" fillId="0" borderId="78" xfId="0" applyFont="1" applyFill="1" applyBorder="1" applyAlignment="1" applyProtection="1">
      <alignment horizontal="center" vertical="center"/>
    </xf>
    <xf numFmtId="164" fontId="21" fillId="0" borderId="79" xfId="0" applyFont="1" applyFill="1" applyBorder="1" applyAlignment="1">
      <alignment horizontal="center" vertical="center"/>
    </xf>
    <xf numFmtId="165" fontId="21" fillId="0" borderId="80" xfId="0" applyNumberFormat="1" applyFont="1" applyFill="1" applyBorder="1" applyAlignment="1" applyProtection="1">
      <alignment horizontal="center" vertical="center"/>
    </xf>
    <xf numFmtId="165" fontId="21" fillId="0" borderId="81" xfId="0" applyNumberFormat="1" applyFont="1" applyFill="1" applyBorder="1" applyAlignment="1" applyProtection="1">
      <alignment horizontal="center" vertical="center"/>
    </xf>
    <xf numFmtId="3" fontId="21" fillId="0" borderId="81" xfId="0" applyNumberFormat="1" applyFont="1" applyFill="1" applyBorder="1" applyAlignment="1" applyProtection="1">
      <alignment horizontal="center" vertical="center"/>
    </xf>
    <xf numFmtId="165" fontId="21" fillId="0" borderId="82" xfId="0" applyNumberFormat="1" applyFont="1" applyFill="1" applyBorder="1" applyAlignment="1" applyProtection="1">
      <alignment horizontal="center" vertical="center"/>
    </xf>
    <xf numFmtId="5" fontId="21" fillId="0" borderId="61" xfId="0" applyNumberFormat="1" applyFont="1" applyFill="1" applyBorder="1" applyAlignment="1" applyProtection="1">
      <alignment horizontal="center" vertical="center"/>
    </xf>
    <xf numFmtId="164" fontId="21" fillId="0" borderId="48" xfId="0" applyFont="1" applyFill="1" applyBorder="1" applyAlignment="1">
      <alignment vertical="center"/>
    </xf>
    <xf numFmtId="168" fontId="28" fillId="0" borderId="0" xfId="5" quotePrefix="1" applyNumberFormat="1" applyFont="1" applyFill="1" applyBorder="1" applyAlignment="1" applyProtection="1">
      <alignment vertical="top" wrapText="1"/>
    </xf>
    <xf numFmtId="165" fontId="21" fillId="0" borderId="14" xfId="0" applyNumberFormat="1" applyFont="1" applyFill="1" applyBorder="1" applyAlignment="1" applyProtection="1">
      <alignment vertical="center"/>
      <protection locked="0"/>
    </xf>
    <xf numFmtId="44" fontId="21" fillId="0" borderId="0" xfId="2" applyFont="1"/>
    <xf numFmtId="5" fontId="21" fillId="0" borderId="83" xfId="0" applyNumberFormat="1" applyFont="1" applyFill="1" applyBorder="1" applyAlignment="1" applyProtection="1">
      <alignment horizontal="center" vertical="center"/>
    </xf>
    <xf numFmtId="5" fontId="21" fillId="0" borderId="84" xfId="0" applyNumberFormat="1" applyFont="1" applyFill="1" applyBorder="1" applyAlignment="1" applyProtection="1">
      <alignment horizontal="center" vertical="center"/>
    </xf>
    <xf numFmtId="164" fontId="21" fillId="0" borderId="77" xfId="0" applyFont="1" applyFill="1" applyBorder="1" applyAlignment="1" applyProtection="1">
      <alignment horizontal="center" vertical="center"/>
      <protection locked="0"/>
    </xf>
    <xf numFmtId="164" fontId="21" fillId="4" borderId="77" xfId="0" applyFont="1" applyFill="1" applyBorder="1" applyAlignment="1" applyProtection="1">
      <alignment horizontal="center" vertical="center"/>
      <protection locked="0"/>
    </xf>
    <xf numFmtId="164" fontId="21" fillId="0" borderId="85" xfId="0" applyFont="1" applyFill="1" applyBorder="1" applyAlignment="1" applyProtection="1">
      <alignment horizontal="center" vertical="center"/>
    </xf>
    <xf numFmtId="166" fontId="21" fillId="0" borderId="85" xfId="0" applyNumberFormat="1" applyFont="1" applyFill="1" applyBorder="1" applyAlignment="1" applyProtection="1">
      <alignment horizontal="center" vertical="center"/>
      <protection locked="0"/>
    </xf>
    <xf numFmtId="37" fontId="21" fillId="0" borderId="85" xfId="0" applyNumberFormat="1" applyFont="1" applyFill="1" applyBorder="1" applyAlignment="1" applyProtection="1">
      <alignment horizontal="center" vertical="center"/>
    </xf>
    <xf numFmtId="37" fontId="21" fillId="0" borderId="86" xfId="0" applyNumberFormat="1" applyFont="1" applyFill="1" applyBorder="1" applyAlignment="1" applyProtection="1">
      <alignment horizontal="center" vertical="center"/>
    </xf>
    <xf numFmtId="164" fontId="21" fillId="0" borderId="85" xfId="0" applyFont="1" applyFill="1" applyBorder="1" applyAlignment="1" applyProtection="1">
      <alignment horizontal="center" vertical="center"/>
      <protection locked="0"/>
    </xf>
    <xf numFmtId="5" fontId="21" fillId="0" borderId="87" xfId="0" applyNumberFormat="1" applyFont="1" applyFill="1" applyBorder="1" applyAlignment="1" applyProtection="1">
      <alignment horizontal="center" vertical="center"/>
    </xf>
    <xf numFmtId="164" fontId="21" fillId="0" borderId="88" xfId="0" applyFont="1" applyFill="1" applyBorder="1" applyAlignment="1">
      <alignment vertical="center"/>
    </xf>
    <xf numFmtId="5" fontId="21" fillId="0" borderId="6" xfId="0" applyNumberFormat="1" applyFont="1" applyFill="1" applyBorder="1" applyAlignment="1" applyProtection="1">
      <alignment horizontal="center" vertical="center"/>
    </xf>
    <xf numFmtId="3" fontId="21" fillId="0" borderId="63" xfId="0" applyNumberFormat="1" applyFont="1" applyFill="1" applyBorder="1" applyAlignment="1" applyProtection="1">
      <alignment horizontal="center" vertical="center"/>
    </xf>
    <xf numFmtId="164" fontId="24" fillId="0" borderId="52" xfId="0" applyFont="1" applyFill="1" applyBorder="1" applyAlignment="1">
      <alignment vertical="center"/>
    </xf>
    <xf numFmtId="164" fontId="21" fillId="4" borderId="85" xfId="0" applyFont="1" applyFill="1" applyBorder="1" applyAlignment="1" applyProtection="1">
      <alignment horizontal="center" vertical="center"/>
      <protection locked="0"/>
    </xf>
    <xf numFmtId="3" fontId="21" fillId="0" borderId="7" xfId="0" applyNumberFormat="1" applyFont="1" applyFill="1" applyBorder="1" applyAlignment="1" applyProtection="1">
      <alignment horizontal="center" vertical="center"/>
    </xf>
    <xf numFmtId="2" fontId="21" fillId="0" borderId="90" xfId="0" applyNumberFormat="1" applyFont="1" applyFill="1" applyBorder="1" applyAlignment="1" applyProtection="1">
      <alignment horizontal="center" vertical="center"/>
    </xf>
    <xf numFmtId="9" fontId="21" fillId="0" borderId="14" xfId="0" applyNumberFormat="1" applyFont="1" applyFill="1" applyBorder="1" applyAlignment="1" applyProtection="1">
      <alignment vertical="center"/>
      <protection locked="0"/>
    </xf>
    <xf numFmtId="166" fontId="21" fillId="0" borderId="77" xfId="0" applyNumberFormat="1" applyFont="1" applyFill="1" applyBorder="1" applyAlignment="1" applyProtection="1">
      <alignment horizontal="center" vertical="center"/>
      <protection locked="0"/>
    </xf>
    <xf numFmtId="37" fontId="21" fillId="0" borderId="77" xfId="0" applyNumberFormat="1" applyFont="1" applyFill="1" applyBorder="1" applyAlignment="1" applyProtection="1">
      <alignment horizontal="center" vertical="center"/>
    </xf>
    <xf numFmtId="37" fontId="21" fillId="0" borderId="91" xfId="0" applyNumberFormat="1" applyFont="1" applyFill="1" applyBorder="1" applyAlignment="1" applyProtection="1">
      <alignment horizontal="center" vertical="center"/>
    </xf>
    <xf numFmtId="9" fontId="21" fillId="0" borderId="92" xfId="0" applyNumberFormat="1" applyFont="1" applyFill="1" applyBorder="1" applyAlignment="1" applyProtection="1">
      <alignment vertical="center"/>
      <protection locked="0"/>
    </xf>
    <xf numFmtId="5" fontId="21" fillId="0" borderId="77" xfId="0" applyNumberFormat="1" applyFont="1" applyFill="1" applyBorder="1" applyAlignment="1" applyProtection="1">
      <alignment horizontal="center" vertical="center"/>
      <protection locked="0"/>
    </xf>
    <xf numFmtId="164" fontId="21" fillId="0" borderId="77" xfId="0" applyFont="1" applyFill="1" applyBorder="1" applyAlignment="1" applyProtection="1">
      <alignment horizontal="center" vertical="center"/>
    </xf>
    <xf numFmtId="164" fontId="21" fillId="0" borderId="93" xfId="0" applyFont="1" applyFill="1" applyBorder="1" applyAlignment="1" applyProtection="1">
      <alignment horizontal="center" vertical="center"/>
    </xf>
    <xf numFmtId="9" fontId="21" fillId="0" borderId="94" xfId="0" applyNumberFormat="1" applyFont="1" applyFill="1" applyBorder="1" applyAlignment="1" applyProtection="1">
      <alignment vertical="center"/>
      <protection locked="0"/>
    </xf>
    <xf numFmtId="3" fontId="21" fillId="0" borderId="95" xfId="0" applyNumberFormat="1" applyFont="1" applyFill="1" applyBorder="1" applyAlignment="1" applyProtection="1">
      <alignment horizontal="center" vertical="center"/>
    </xf>
    <xf numFmtId="9" fontId="21" fillId="0" borderId="40" xfId="0" applyNumberFormat="1" applyFont="1" applyFill="1" applyBorder="1" applyAlignment="1" applyProtection="1">
      <alignment vertical="center"/>
      <protection locked="0"/>
    </xf>
    <xf numFmtId="164" fontId="21" fillId="4" borderId="88" xfId="0" applyFont="1" applyFill="1" applyBorder="1" applyAlignment="1" applyProtection="1">
      <alignment horizontal="center" vertical="center"/>
      <protection locked="0"/>
    </xf>
    <xf numFmtId="9" fontId="21" fillId="0" borderId="96" xfId="0" applyNumberFormat="1" applyFont="1" applyFill="1" applyBorder="1" applyAlignment="1" applyProtection="1">
      <alignment vertical="center"/>
      <protection locked="0"/>
    </xf>
    <xf numFmtId="164" fontId="21" fillId="0" borderId="97" xfId="0" applyFont="1" applyFill="1" applyBorder="1" applyAlignment="1">
      <alignment vertical="center"/>
    </xf>
    <xf numFmtId="2" fontId="21" fillId="0" borderId="41" xfId="0" applyNumberFormat="1" applyFont="1" applyFill="1" applyBorder="1" applyAlignment="1" applyProtection="1">
      <alignment horizontal="center" vertical="center"/>
    </xf>
    <xf numFmtId="164" fontId="21" fillId="0" borderId="96" xfId="0" applyFont="1" applyFill="1" applyBorder="1" applyAlignment="1">
      <alignment vertical="center"/>
    </xf>
    <xf numFmtId="164" fontId="21" fillId="0" borderId="76" xfId="0" applyFont="1" applyFill="1" applyBorder="1" applyAlignment="1">
      <alignment horizontal="center"/>
    </xf>
    <xf numFmtId="3" fontId="21" fillId="0" borderId="5" xfId="0" applyNumberFormat="1" applyFont="1" applyFill="1" applyBorder="1" applyAlignment="1">
      <alignment horizontal="center"/>
    </xf>
    <xf numFmtId="164" fontId="21" fillId="0" borderId="90" xfId="0" applyFont="1" applyFill="1" applyBorder="1" applyAlignment="1">
      <alignment horizontal="center"/>
    </xf>
    <xf numFmtId="164" fontId="21" fillId="0" borderId="46" xfId="0" applyFont="1" applyFill="1" applyBorder="1" applyAlignment="1">
      <alignment horizontal="center"/>
    </xf>
    <xf numFmtId="5" fontId="21" fillId="0" borderId="101" xfId="0" applyNumberFormat="1" applyFont="1" applyFill="1" applyBorder="1" applyAlignment="1" applyProtection="1">
      <alignment horizontal="center" vertical="center"/>
    </xf>
    <xf numFmtId="167" fontId="21" fillId="0" borderId="45" xfId="0" applyNumberFormat="1" applyFont="1" applyFill="1" applyBorder="1" applyAlignment="1">
      <alignment horizontal="center"/>
    </xf>
    <xf numFmtId="164" fontId="21" fillId="0" borderId="18" xfId="0" applyFont="1" applyFill="1" applyBorder="1" applyAlignment="1">
      <alignment horizontal="center"/>
    </xf>
    <xf numFmtId="164" fontId="21" fillId="0" borderId="11" xfId="0" applyFont="1" applyFill="1" applyBorder="1" applyAlignment="1">
      <alignment vertical="center"/>
    </xf>
    <xf numFmtId="164" fontId="21" fillId="0" borderId="103" xfId="0" applyFont="1" applyFill="1" applyBorder="1" applyAlignment="1">
      <alignment vertical="center"/>
    </xf>
    <xf numFmtId="164" fontId="21" fillId="0" borderId="103" xfId="0" applyFont="1" applyFill="1" applyBorder="1" applyAlignment="1">
      <alignment horizontal="center" vertical="center"/>
    </xf>
    <xf numFmtId="164" fontId="21" fillId="0" borderId="12" xfId="0" applyFont="1" applyFill="1" applyBorder="1" applyAlignment="1">
      <alignment horizontal="center" vertical="center"/>
    </xf>
    <xf numFmtId="3" fontId="21" fillId="0" borderId="13" xfId="0" applyNumberFormat="1" applyFont="1" applyFill="1" applyBorder="1" applyAlignment="1">
      <alignment horizontal="center" vertical="center"/>
    </xf>
    <xf numFmtId="5" fontId="21" fillId="0" borderId="104" xfId="0" applyNumberFormat="1" applyFont="1" applyFill="1" applyBorder="1" applyAlignment="1" applyProtection="1">
      <alignment horizontal="center" vertical="center"/>
    </xf>
    <xf numFmtId="167" fontId="21" fillId="0" borderId="103" xfId="0" applyNumberFormat="1" applyFont="1" applyFill="1" applyBorder="1" applyAlignment="1">
      <alignment horizontal="center" vertical="center"/>
    </xf>
    <xf numFmtId="2" fontId="21" fillId="0" borderId="105" xfId="0" applyNumberFormat="1" applyFont="1" applyFill="1" applyBorder="1" applyAlignment="1">
      <alignment horizontal="center" vertical="center"/>
    </xf>
    <xf numFmtId="164" fontId="21" fillId="0" borderId="53" xfId="0" applyFont="1" applyFill="1" applyBorder="1" applyAlignment="1">
      <alignment vertical="center"/>
    </xf>
    <xf numFmtId="164" fontId="21" fillId="0" borderId="0" xfId="0" applyFont="1" applyFill="1" applyBorder="1" applyAlignment="1">
      <alignment horizontal="center" vertical="center"/>
    </xf>
    <xf numFmtId="3" fontId="21" fillId="0" borderId="0" xfId="0" applyNumberFormat="1" applyFont="1" applyFill="1" applyBorder="1" applyAlignment="1">
      <alignment horizontal="center" vertical="center"/>
    </xf>
    <xf numFmtId="5" fontId="21" fillId="0" borderId="0" xfId="0" applyNumberFormat="1" applyFont="1" applyFill="1" applyBorder="1" applyAlignment="1">
      <alignment horizontal="center" vertical="center"/>
    </xf>
    <xf numFmtId="164" fontId="21" fillId="0" borderId="0" xfId="0" applyFont="1" applyFill="1" applyBorder="1" applyAlignment="1">
      <alignment horizontal="center"/>
    </xf>
    <xf numFmtId="164" fontId="21" fillId="0" borderId="106" xfId="0" applyFont="1" applyFill="1" applyBorder="1" applyAlignment="1">
      <alignment horizontal="center" vertical="center"/>
    </xf>
    <xf numFmtId="164" fontId="21" fillId="0" borderId="0" xfId="0" applyFont="1" applyFill="1" applyBorder="1" applyAlignment="1">
      <alignment horizontal="left" vertical="center"/>
    </xf>
    <xf numFmtId="167" fontId="21" fillId="0" borderId="0" xfId="0" applyNumberFormat="1" applyFont="1" applyFill="1" applyBorder="1" applyAlignment="1">
      <alignment horizontal="center" vertical="center"/>
    </xf>
    <xf numFmtId="164" fontId="21" fillId="0" borderId="51" xfId="0" applyFont="1" applyFill="1" applyBorder="1"/>
    <xf numFmtId="164" fontId="21" fillId="0" borderId="51" xfId="0" applyFont="1" applyFill="1" applyBorder="1" applyAlignment="1">
      <alignment horizontal="center" vertical="center"/>
    </xf>
    <xf numFmtId="3" fontId="21" fillId="0" borderId="51" xfId="0" applyNumberFormat="1" applyFont="1" applyFill="1" applyBorder="1" applyAlignment="1">
      <alignment horizontal="center" vertical="center"/>
    </xf>
    <xf numFmtId="5" fontId="21" fillId="0" borderId="51" xfId="0" applyNumberFormat="1" applyFont="1" applyFill="1" applyBorder="1" applyAlignment="1">
      <alignment horizontal="center" vertical="center"/>
    </xf>
    <xf numFmtId="164" fontId="21" fillId="0" borderId="107" xfId="0" applyFont="1" applyFill="1" applyBorder="1" applyAlignment="1">
      <alignment horizontal="center" vertical="center"/>
    </xf>
    <xf numFmtId="164" fontId="21" fillId="0" borderId="0" xfId="0" applyFont="1" applyFill="1" applyBorder="1" applyAlignment="1">
      <alignment horizontal="right"/>
    </xf>
    <xf numFmtId="5" fontId="21" fillId="0" borderId="0" xfId="0" applyNumberFormat="1" applyFont="1" applyFill="1" applyBorder="1" applyAlignment="1">
      <alignment horizontal="center"/>
    </xf>
    <xf numFmtId="164" fontId="21" fillId="0" borderId="0" xfId="0" applyFont="1" applyFill="1" applyAlignment="1">
      <alignment horizontal="center"/>
    </xf>
    <xf numFmtId="3" fontId="21" fillId="0" borderId="0" xfId="1" applyNumberFormat="1" applyFont="1" applyFill="1" applyBorder="1" applyAlignment="1">
      <alignment horizontal="right"/>
    </xf>
    <xf numFmtId="3" fontId="21" fillId="0" borderId="0" xfId="0" applyNumberFormat="1" applyFont="1" applyFill="1"/>
    <xf numFmtId="5" fontId="21" fillId="0" borderId="15" xfId="0" applyNumberFormat="1" applyFont="1" applyFill="1" applyBorder="1" applyAlignment="1" applyProtection="1">
      <alignment horizontal="center" vertical="center"/>
    </xf>
    <xf numFmtId="5" fontId="21" fillId="0" borderId="62" xfId="0" applyNumberFormat="1" applyFont="1" applyFill="1" applyBorder="1" applyAlignment="1" applyProtection="1">
      <alignment horizontal="center" vertical="center"/>
    </xf>
    <xf numFmtId="5" fontId="21" fillId="0" borderId="16" xfId="0" applyNumberFormat="1" applyFont="1" applyFill="1" applyBorder="1" applyAlignment="1" applyProtection="1">
      <alignment horizontal="center" vertical="center"/>
    </xf>
    <xf numFmtId="164" fontId="21" fillId="0" borderId="6" xfId="0" applyFont="1" applyFill="1" applyBorder="1" applyAlignment="1">
      <alignment vertical="center"/>
    </xf>
    <xf numFmtId="164" fontId="21" fillId="4" borderId="6" xfId="0" applyFont="1" applyFill="1" applyBorder="1" applyAlignment="1" applyProtection="1">
      <alignment horizontal="left" vertical="center"/>
    </xf>
    <xf numFmtId="164" fontId="21" fillId="4" borderId="6" xfId="0" applyFont="1" applyFill="1" applyBorder="1" applyAlignment="1" applyProtection="1">
      <alignment vertical="center" wrapText="1"/>
    </xf>
    <xf numFmtId="165" fontId="24" fillId="0" borderId="6" xfId="0" applyNumberFormat="1" applyFont="1" applyFill="1" applyBorder="1" applyAlignment="1" applyProtection="1">
      <alignment vertical="center"/>
      <protection locked="0"/>
    </xf>
    <xf numFmtId="164" fontId="21" fillId="0" borderId="7" xfId="0" applyFont="1" applyFill="1" applyBorder="1" applyAlignment="1" applyProtection="1">
      <alignment horizontal="left" vertical="center"/>
    </xf>
    <xf numFmtId="164" fontId="21" fillId="0" borderId="9" xfId="0" applyFont="1" applyFill="1" applyBorder="1" applyAlignment="1" applyProtection="1">
      <alignment horizontal="center" vertical="center"/>
    </xf>
    <xf numFmtId="164" fontId="21" fillId="0" borderId="7" xfId="0" applyFont="1" applyFill="1" applyBorder="1" applyAlignment="1">
      <alignment vertical="center"/>
    </xf>
    <xf numFmtId="164" fontId="21" fillId="4" borderId="7" xfId="0" applyFont="1" applyFill="1" applyBorder="1" applyAlignment="1" applyProtection="1">
      <alignment horizontal="left" vertical="center"/>
    </xf>
    <xf numFmtId="164" fontId="21" fillId="0" borderId="9" xfId="0" applyFont="1" applyFill="1" applyBorder="1" applyAlignment="1">
      <alignment vertical="center"/>
    </xf>
    <xf numFmtId="9" fontId="21" fillId="0" borderId="54" xfId="0" applyNumberFormat="1" applyFont="1" applyFill="1" applyBorder="1" applyAlignment="1" applyProtection="1">
      <alignment vertical="center"/>
      <protection locked="0"/>
    </xf>
    <xf numFmtId="9" fontId="21" fillId="0" borderId="9" xfId="0" applyNumberFormat="1" applyFont="1" applyFill="1" applyBorder="1" applyAlignment="1" applyProtection="1">
      <alignment vertical="center"/>
      <protection locked="0"/>
    </xf>
    <xf numFmtId="164" fontId="21" fillId="0" borderId="9" xfId="0" applyFont="1" applyFill="1" applyBorder="1" applyAlignment="1" applyProtection="1">
      <alignment horizontal="left" vertical="center"/>
    </xf>
    <xf numFmtId="164" fontId="21" fillId="0" borderId="6" xfId="0" applyFont="1" applyFill="1" applyBorder="1" applyAlignment="1">
      <alignment horizontal="center" vertical="center"/>
    </xf>
    <xf numFmtId="164" fontId="21" fillId="4" borderId="6" xfId="0" applyFont="1" applyFill="1" applyBorder="1" applyAlignment="1" applyProtection="1">
      <alignment horizontal="center" vertical="center"/>
      <protection locked="0"/>
    </xf>
    <xf numFmtId="0" fontId="4" fillId="0" borderId="0" xfId="3"/>
    <xf numFmtId="164" fontId="21" fillId="4" borderId="81" xfId="0" applyFont="1" applyFill="1" applyBorder="1" applyAlignment="1">
      <alignment horizontal="center"/>
    </xf>
    <xf numFmtId="164" fontId="21" fillId="0" borderId="81" xfId="0" applyFont="1" applyFill="1" applyBorder="1" applyAlignment="1" applyProtection="1">
      <alignment horizontal="center" vertical="center"/>
      <protection locked="0"/>
    </xf>
    <xf numFmtId="0" fontId="21" fillId="0" borderId="1" xfId="0" applyNumberFormat="1" applyFont="1" applyFill="1" applyBorder="1" applyAlignment="1" applyProtection="1">
      <alignment vertical="center"/>
      <protection locked="0"/>
    </xf>
    <xf numFmtId="0" fontId="21" fillId="0" borderId="108" xfId="0" applyNumberFormat="1" applyFont="1" applyFill="1" applyBorder="1" applyAlignment="1" applyProtection="1">
      <alignment vertical="center"/>
      <protection locked="0"/>
    </xf>
    <xf numFmtId="165" fontId="21" fillId="0" borderId="109" xfId="0" applyNumberFormat="1" applyFont="1" applyFill="1" applyBorder="1" applyAlignment="1" applyProtection="1">
      <alignment horizontal="center" vertical="center"/>
    </xf>
    <xf numFmtId="3" fontId="21" fillId="0" borderId="3" xfId="0" applyNumberFormat="1" applyFont="1" applyFill="1" applyBorder="1" applyAlignment="1" applyProtection="1">
      <alignment horizontal="center" vertical="center"/>
    </xf>
    <xf numFmtId="164" fontId="21" fillId="0" borderId="6" xfId="0" applyFont="1" applyFill="1" applyBorder="1" applyAlignment="1" applyProtection="1">
      <alignment horizontal="center" vertical="center"/>
    </xf>
    <xf numFmtId="164" fontId="21" fillId="0" borderId="6" xfId="0" applyFont="1" applyFill="1" applyBorder="1" applyAlignment="1" applyProtection="1">
      <alignment horizontal="center" vertical="center"/>
      <protection locked="0"/>
    </xf>
    <xf numFmtId="165" fontId="21" fillId="0" borderId="6" xfId="0" applyNumberFormat="1" applyFont="1" applyFill="1" applyBorder="1" applyAlignment="1" applyProtection="1">
      <alignment horizontal="center" vertical="center"/>
    </xf>
    <xf numFmtId="0" fontId="27" fillId="0" borderId="6" xfId="0" applyNumberFormat="1" applyFont="1" applyFill="1" applyBorder="1" applyAlignment="1" applyProtection="1">
      <alignment horizontal="center" vertical="center"/>
      <protection locked="0"/>
    </xf>
    <xf numFmtId="3" fontId="21" fillId="0" borderId="6" xfId="0" applyNumberFormat="1" applyFont="1" applyFill="1" applyBorder="1" applyAlignment="1" applyProtection="1">
      <alignment horizontal="center" vertical="center"/>
    </xf>
    <xf numFmtId="37" fontId="21" fillId="0" borderId="6" xfId="0" applyNumberFormat="1" applyFont="1" applyFill="1" applyBorder="1" applyAlignment="1" applyProtection="1">
      <alignment horizontal="center" vertical="center"/>
      <protection locked="0"/>
    </xf>
    <xf numFmtId="37" fontId="21" fillId="0" borderId="6" xfId="0" applyNumberFormat="1" applyFont="1" applyFill="1" applyBorder="1" applyAlignment="1" applyProtection="1">
      <alignment horizontal="center" vertical="center"/>
    </xf>
    <xf numFmtId="3" fontId="21" fillId="0" borderId="6" xfId="0" applyNumberFormat="1" applyFont="1" applyFill="1" applyBorder="1" applyAlignment="1" applyProtection="1">
      <alignment horizontal="center" vertical="center"/>
      <protection locked="0"/>
    </xf>
    <xf numFmtId="166" fontId="21" fillId="0" borderId="6" xfId="0" applyNumberFormat="1" applyFont="1" applyFill="1" applyBorder="1" applyAlignment="1" applyProtection="1">
      <alignment horizontal="center" vertical="center"/>
      <protection locked="0"/>
    </xf>
    <xf numFmtId="165" fontId="21" fillId="0" borderId="6" xfId="0" applyNumberFormat="1" applyFont="1" applyFill="1" applyBorder="1" applyAlignment="1" applyProtection="1">
      <alignment horizontal="center" vertical="center"/>
      <protection locked="0"/>
    </xf>
    <xf numFmtId="167" fontId="21" fillId="0" borderId="6" xfId="0" applyNumberFormat="1" applyFont="1" applyFill="1" applyBorder="1" applyAlignment="1" applyProtection="1">
      <alignment horizontal="center" vertical="center"/>
      <protection locked="0"/>
    </xf>
    <xf numFmtId="5" fontId="21" fillId="0" borderId="6" xfId="0" applyNumberFormat="1" applyFont="1" applyFill="1" applyBorder="1" applyAlignment="1" applyProtection="1">
      <alignment horizontal="center" vertical="center"/>
      <protection locked="0"/>
    </xf>
    <xf numFmtId="167" fontId="21" fillId="0" borderId="6" xfId="0" applyNumberFormat="1" applyFont="1" applyFill="1" applyBorder="1" applyAlignment="1" applyProtection="1">
      <alignment horizontal="center" vertical="center"/>
    </xf>
    <xf numFmtId="164" fontId="16" fillId="0" borderId="7" xfId="8" applyFont="1" applyFill="1" applyBorder="1" applyAlignment="1">
      <alignment horizontal="center" vertical="center" wrapText="1"/>
    </xf>
    <xf numFmtId="164" fontId="22" fillId="0" borderId="6" xfId="8" applyFont="1" applyFill="1" applyBorder="1" applyAlignment="1">
      <alignment horizontal="center" vertical="center" wrapText="1"/>
    </xf>
    <xf numFmtId="164" fontId="19" fillId="0" borderId="6" xfId="8" applyFont="1" applyFill="1" applyBorder="1" applyAlignment="1">
      <alignment horizontal="left" vertical="center" wrapText="1" indent="2"/>
    </xf>
    <xf numFmtId="164" fontId="21" fillId="0" borderId="6" xfId="8" applyFont="1" applyFill="1" applyBorder="1" applyAlignment="1">
      <alignment horizontal="center" vertical="center" wrapText="1"/>
    </xf>
    <xf numFmtId="169" fontId="23" fillId="0" borderId="6" xfId="8" applyNumberFormat="1" applyFont="1" applyFill="1" applyBorder="1" applyAlignment="1">
      <alignment horizontal="right" wrapText="1"/>
    </xf>
    <xf numFmtId="164" fontId="19" fillId="0" borderId="6" xfId="8" applyFont="1" applyFill="1" applyBorder="1" applyAlignment="1">
      <alignment horizontal="left" vertical="center" wrapText="1"/>
    </xf>
    <xf numFmtId="164" fontId="19" fillId="0" borderId="6" xfId="8" applyFont="1" applyFill="1" applyBorder="1" applyAlignment="1">
      <alignment horizontal="center" vertical="center" wrapText="1"/>
    </xf>
    <xf numFmtId="164" fontId="8" fillId="0" borderId="6" xfId="8" applyFont="1" applyFill="1" applyBorder="1" applyAlignment="1">
      <alignment wrapText="1"/>
    </xf>
    <xf numFmtId="0" fontId="9" fillId="0" borderId="0" xfId="5" applyFont="1" applyFill="1" applyBorder="1"/>
    <xf numFmtId="0" fontId="4" fillId="0" borderId="110" xfId="5" applyFill="1" applyBorder="1" applyAlignment="1">
      <alignment wrapText="1"/>
    </xf>
    <xf numFmtId="0" fontId="9" fillId="0" borderId="13" xfId="5" applyFont="1" applyFill="1" applyBorder="1" applyAlignment="1">
      <alignment wrapText="1"/>
    </xf>
    <xf numFmtId="0" fontId="9" fillId="0" borderId="111" xfId="5" applyFont="1" applyFill="1" applyBorder="1" applyAlignment="1">
      <alignment wrapText="1"/>
    </xf>
    <xf numFmtId="0" fontId="10" fillId="0" borderId="15" xfId="5" applyFont="1" applyFill="1" applyBorder="1"/>
    <xf numFmtId="0" fontId="10" fillId="0" borderId="6" xfId="4" applyFont="1" applyFill="1" applyBorder="1"/>
    <xf numFmtId="0" fontId="10" fillId="0" borderId="6" xfId="5" applyFont="1" applyFill="1" applyBorder="1"/>
    <xf numFmtId="164" fontId="9" fillId="0" borderId="0" xfId="0" applyFont="1" applyBorder="1"/>
    <xf numFmtId="164" fontId="17" fillId="4" borderId="0" xfId="0" applyFont="1" applyFill="1" applyBorder="1" applyAlignment="1">
      <alignment wrapText="1"/>
    </xf>
    <xf numFmtId="164" fontId="21" fillId="0" borderId="10" xfId="0" applyFont="1" applyFill="1" applyBorder="1" applyAlignment="1" applyProtection="1">
      <alignment horizontal="center" vertical="center"/>
    </xf>
    <xf numFmtId="165" fontId="21" fillId="0" borderId="8" xfId="0" applyNumberFormat="1" applyFont="1" applyFill="1" applyBorder="1" applyAlignment="1" applyProtection="1">
      <alignment horizontal="center" vertical="center"/>
    </xf>
    <xf numFmtId="5" fontId="21" fillId="0" borderId="8" xfId="0" applyNumberFormat="1" applyFont="1" applyFill="1" applyBorder="1" applyAlignment="1" applyProtection="1">
      <alignment horizontal="center" vertical="center"/>
    </xf>
    <xf numFmtId="165" fontId="21" fillId="0" borderId="10" xfId="0" applyNumberFormat="1" applyFont="1" applyFill="1" applyBorder="1" applyAlignment="1" applyProtection="1">
      <alignment vertical="center"/>
      <protection locked="0"/>
    </xf>
    <xf numFmtId="164" fontId="24" fillId="0" borderId="25" xfId="0" applyFont="1" applyFill="1" applyBorder="1" applyAlignment="1">
      <alignment vertical="center"/>
    </xf>
    <xf numFmtId="164" fontId="21" fillId="0" borderId="40" xfId="0" applyFont="1" applyFill="1" applyBorder="1" applyAlignment="1">
      <alignment vertical="center"/>
    </xf>
    <xf numFmtId="164" fontId="21" fillId="0" borderId="4" xfId="0" applyFont="1" applyFill="1" applyBorder="1" applyAlignment="1" applyProtection="1">
      <alignment horizontal="left" vertical="center"/>
    </xf>
    <xf numFmtId="164" fontId="21" fillId="0" borderId="60" xfId="0" applyFont="1" applyFill="1" applyBorder="1" applyAlignment="1">
      <alignment horizontal="center"/>
    </xf>
    <xf numFmtId="0" fontId="4" fillId="0" borderId="0" xfId="0" applyNumberFormat="1" applyFont="1"/>
    <xf numFmtId="0" fontId="0" fillId="0" borderId="0" xfId="0" applyNumberFormat="1"/>
    <xf numFmtId="0" fontId="9" fillId="0" borderId="0" xfId="0" applyNumberFormat="1" applyFont="1"/>
    <xf numFmtId="0" fontId="9" fillId="2" borderId="6" xfId="0" applyNumberFormat="1" applyFont="1" applyFill="1" applyBorder="1"/>
    <xf numFmtId="0" fontId="9" fillId="2" borderId="6" xfId="0" applyNumberFormat="1" applyFont="1" applyFill="1" applyBorder="1" applyAlignment="1">
      <alignment horizontal="center"/>
    </xf>
    <xf numFmtId="0" fontId="30" fillId="0" borderId="6" xfId="0" applyNumberFormat="1" applyFont="1" applyBorder="1"/>
    <xf numFmtId="0" fontId="30" fillId="0" borderId="6" xfId="0" applyNumberFormat="1" applyFont="1" applyBorder="1" applyAlignment="1">
      <alignment horizontal="center"/>
    </xf>
    <xf numFmtId="0" fontId="0" fillId="0" borderId="6" xfId="0" applyNumberFormat="1" applyBorder="1"/>
    <xf numFmtId="0" fontId="31" fillId="0" borderId="6" xfId="0" applyNumberFormat="1" applyFont="1" applyFill="1" applyBorder="1"/>
    <xf numFmtId="0" fontId="31" fillId="0" borderId="6" xfId="0" applyNumberFormat="1" applyFont="1" applyBorder="1"/>
    <xf numFmtId="0" fontId="32" fillId="0" borderId="6" xfId="0" applyNumberFormat="1" applyFont="1" applyFill="1" applyBorder="1" applyAlignment="1">
      <alignment vertical="top" wrapText="1"/>
    </xf>
    <xf numFmtId="0" fontId="32" fillId="0" borderId="6" xfId="0" applyNumberFormat="1" applyFont="1" applyFill="1" applyBorder="1" applyAlignment="1">
      <alignment horizontal="left" vertical="top" wrapText="1" indent="1"/>
    </xf>
    <xf numFmtId="44" fontId="31" fillId="0" borderId="6" xfId="2" applyFont="1" applyBorder="1"/>
    <xf numFmtId="44" fontId="0" fillId="0" borderId="6" xfId="0" applyNumberFormat="1" applyBorder="1"/>
    <xf numFmtId="171" fontId="0" fillId="0" borderId="6" xfId="0" applyNumberFormat="1" applyBorder="1"/>
    <xf numFmtId="167" fontId="31" fillId="0" borderId="6" xfId="0" quotePrefix="1" applyNumberFormat="1" applyFont="1" applyBorder="1"/>
    <xf numFmtId="167" fontId="31" fillId="0" borderId="6" xfId="0" applyNumberFormat="1" applyFont="1" applyBorder="1"/>
    <xf numFmtId="170" fontId="0" fillId="0" borderId="6" xfId="0" applyNumberFormat="1" applyBorder="1"/>
    <xf numFmtId="172" fontId="0" fillId="0" borderId="6" xfId="0" applyNumberFormat="1" applyBorder="1"/>
    <xf numFmtId="49" fontId="31" fillId="0" borderId="6" xfId="0" applyNumberFormat="1" applyFont="1" applyBorder="1"/>
    <xf numFmtId="168" fontId="32" fillId="0" borderId="6" xfId="0" quotePrefix="1" applyNumberFormat="1" applyFont="1" applyFill="1" applyBorder="1" applyAlignment="1" applyProtection="1">
      <alignment vertical="top" wrapText="1"/>
    </xf>
    <xf numFmtId="168" fontId="33" fillId="0" borderId="6" xfId="0" quotePrefix="1" applyNumberFormat="1" applyFont="1" applyFill="1" applyBorder="1" applyAlignment="1" applyProtection="1">
      <alignment vertical="top" wrapText="1"/>
    </xf>
    <xf numFmtId="172" fontId="9" fillId="0" borderId="6" xfId="0" applyNumberFormat="1" applyFont="1" applyBorder="1"/>
    <xf numFmtId="0" fontId="31" fillId="0" borderId="0" xfId="0" applyNumberFormat="1" applyFont="1"/>
    <xf numFmtId="44" fontId="0" fillId="0" borderId="0" xfId="2" applyFont="1"/>
    <xf numFmtId="0" fontId="34" fillId="0" borderId="0" xfId="0" applyNumberFormat="1" applyFont="1"/>
    <xf numFmtId="0" fontId="8" fillId="0" borderId="0" xfId="0" applyNumberFormat="1" applyFont="1"/>
    <xf numFmtId="0" fontId="13" fillId="0" borderId="0" xfId="0" applyNumberFormat="1" applyFont="1"/>
    <xf numFmtId="167" fontId="0" fillId="0" borderId="0" xfId="0" applyNumberFormat="1"/>
    <xf numFmtId="0" fontId="0" fillId="0" borderId="0" xfId="0" applyNumberFormat="1" applyFill="1" applyBorder="1" applyAlignment="1">
      <alignment vertical="top"/>
    </xf>
    <xf numFmtId="172" fontId="9" fillId="5" borderId="6" xfId="0" applyNumberFormat="1" applyFont="1" applyFill="1" applyBorder="1"/>
    <xf numFmtId="5" fontId="8" fillId="0" borderId="8" xfId="0" applyNumberFormat="1" applyFont="1" applyFill="1" applyBorder="1" applyAlignment="1" applyProtection="1">
      <alignment horizontal="center" vertical="center"/>
    </xf>
    <xf numFmtId="164" fontId="8" fillId="0" borderId="0" xfId="0" applyFont="1" applyFill="1"/>
    <xf numFmtId="5" fontId="21" fillId="0" borderId="79" xfId="0" applyNumberFormat="1" applyFont="1" applyFill="1" applyBorder="1" applyAlignment="1" applyProtection="1">
      <alignment horizontal="center" vertical="center"/>
      <protection locked="0"/>
    </xf>
    <xf numFmtId="164" fontId="21" fillId="0" borderId="98" xfId="0" applyFont="1" applyFill="1" applyBorder="1" applyAlignment="1">
      <alignment horizontal="center"/>
    </xf>
    <xf numFmtId="164" fontId="8" fillId="0" borderId="7" xfId="0" applyFont="1" applyFill="1" applyBorder="1" applyAlignment="1">
      <alignment vertical="center"/>
    </xf>
    <xf numFmtId="164" fontId="8" fillId="0" borderId="48" xfId="0" applyFont="1" applyFill="1" applyBorder="1" applyAlignment="1" applyProtection="1">
      <alignment horizontal="left" vertical="center"/>
    </xf>
    <xf numFmtId="164" fontId="4" fillId="4" borderId="29" xfId="0" applyFont="1" applyFill="1" applyBorder="1" applyAlignment="1">
      <alignment horizontal="center"/>
    </xf>
    <xf numFmtId="164" fontId="4" fillId="4" borderId="30" xfId="0" applyFont="1" applyFill="1" applyBorder="1" applyAlignment="1">
      <alignment horizontal="center" wrapText="1"/>
    </xf>
    <xf numFmtId="164" fontId="4" fillId="4" borderId="31" xfId="0" applyFont="1" applyFill="1" applyBorder="1" applyAlignment="1">
      <alignment horizontal="center" wrapText="1"/>
    </xf>
    <xf numFmtId="164" fontId="8" fillId="4" borderId="0" xfId="0" applyFont="1" applyFill="1"/>
    <xf numFmtId="164" fontId="4" fillId="4" borderId="27" xfId="0" applyFont="1" applyFill="1" applyBorder="1" applyAlignment="1">
      <alignment horizontal="center"/>
    </xf>
    <xf numFmtId="3" fontId="4" fillId="4" borderId="15" xfId="0" applyNumberFormat="1" applyFont="1" applyFill="1" applyBorder="1" applyAlignment="1">
      <alignment horizontal="center"/>
    </xf>
    <xf numFmtId="167" fontId="4" fillId="4" borderId="15" xfId="0" applyNumberFormat="1" applyFont="1" applyFill="1" applyBorder="1" applyAlignment="1">
      <alignment horizontal="center"/>
    </xf>
    <xf numFmtId="167" fontId="4" fillId="4" borderId="16" xfId="0" applyNumberFormat="1" applyFont="1" applyFill="1" applyBorder="1" applyAlignment="1">
      <alignment horizontal="center"/>
    </xf>
    <xf numFmtId="164" fontId="4" fillId="4" borderId="25" xfId="0" applyFont="1" applyFill="1" applyBorder="1" applyAlignment="1">
      <alignment horizontal="center"/>
    </xf>
    <xf numFmtId="3" fontId="4" fillId="4" borderId="6" xfId="0" applyNumberFormat="1" applyFont="1" applyFill="1" applyBorder="1" applyAlignment="1">
      <alignment horizontal="center"/>
    </xf>
    <xf numFmtId="167" fontId="4" fillId="4" borderId="6" xfId="0" applyNumberFormat="1" applyFont="1" applyFill="1" applyBorder="1" applyAlignment="1">
      <alignment horizontal="center"/>
    </xf>
    <xf numFmtId="164" fontId="4" fillId="4" borderId="32" xfId="0" applyFont="1" applyFill="1" applyBorder="1" applyAlignment="1">
      <alignment horizontal="center"/>
    </xf>
    <xf numFmtId="3" fontId="4" fillId="4" borderId="33" xfId="0" applyNumberFormat="1" applyFont="1" applyFill="1" applyBorder="1" applyAlignment="1">
      <alignment horizontal="center"/>
    </xf>
    <xf numFmtId="167" fontId="4" fillId="4" borderId="33" xfId="0" applyNumberFormat="1" applyFont="1" applyFill="1" applyBorder="1" applyAlignment="1">
      <alignment horizontal="center"/>
    </xf>
    <xf numFmtId="167" fontId="4" fillId="4" borderId="34" xfId="0" applyNumberFormat="1" applyFont="1" applyFill="1" applyBorder="1" applyAlignment="1">
      <alignment horizontal="center"/>
    </xf>
    <xf numFmtId="164" fontId="4" fillId="4" borderId="26" xfId="0" applyFont="1" applyFill="1" applyBorder="1" applyAlignment="1">
      <alignment horizontal="center"/>
    </xf>
    <xf numFmtId="3" fontId="4" fillId="4" borderId="18" xfId="0" applyNumberFormat="1" applyFont="1" applyFill="1" applyBorder="1" applyAlignment="1">
      <alignment horizontal="center"/>
    </xf>
    <xf numFmtId="167" fontId="4" fillId="4" borderId="18" xfId="0" applyNumberFormat="1" applyFont="1" applyFill="1" applyBorder="1" applyAlignment="1">
      <alignment horizontal="center"/>
    </xf>
    <xf numFmtId="167" fontId="4" fillId="4" borderId="28" xfId="0" applyNumberFormat="1" applyFont="1" applyFill="1" applyBorder="1" applyAlignment="1">
      <alignment horizontal="center"/>
    </xf>
    <xf numFmtId="0" fontId="4" fillId="0" borderId="0" xfId="6" applyFont="1" applyAlignment="1">
      <alignment horizontal="centerContinuous"/>
    </xf>
    <xf numFmtId="0" fontId="4" fillId="0" borderId="0" xfId="6" applyFont="1"/>
    <xf numFmtId="164" fontId="8" fillId="0" borderId="0" xfId="0" applyFont="1" applyBorder="1"/>
    <xf numFmtId="164" fontId="8" fillId="0" borderId="0" xfId="0" applyFont="1" applyBorder="1" applyAlignment="1"/>
    <xf numFmtId="164" fontId="8" fillId="0" borderId="0" xfId="0" applyFont="1" applyBorder="1" applyAlignment="1">
      <alignment horizontal="center"/>
    </xf>
    <xf numFmtId="3" fontId="8" fillId="0" borderId="0" xfId="1" applyNumberFormat="1" applyFont="1" applyBorder="1" applyAlignment="1">
      <alignment horizontal="right"/>
    </xf>
    <xf numFmtId="3" fontId="8" fillId="0" borderId="0" xfId="0" applyNumberFormat="1" applyFont="1"/>
    <xf numFmtId="164" fontId="8" fillId="0" borderId="0" xfId="0" applyFont="1"/>
    <xf numFmtId="164" fontId="29" fillId="0" borderId="0" xfId="0" applyFont="1" applyBorder="1" applyAlignment="1"/>
    <xf numFmtId="164" fontId="8" fillId="0" borderId="0" xfId="0" applyFont="1" applyBorder="1" applyAlignment="1">
      <alignment horizontal="right"/>
    </xf>
    <xf numFmtId="164" fontId="8" fillId="0" borderId="0" xfId="0" applyFont="1" applyFill="1" applyBorder="1"/>
    <xf numFmtId="164" fontId="8" fillId="0" borderId="0" xfId="0" applyFont="1" applyAlignment="1">
      <alignment horizontal="right"/>
    </xf>
    <xf numFmtId="167" fontId="8" fillId="0" borderId="0" xfId="0" applyNumberFormat="1" applyFont="1" applyBorder="1"/>
    <xf numFmtId="164" fontId="31" fillId="0" borderId="35" xfId="0" applyFont="1" applyBorder="1" applyAlignment="1" applyProtection="1">
      <alignment horizontal="centerContinuous"/>
    </xf>
    <xf numFmtId="164" fontId="31" fillId="0" borderId="36" xfId="0" applyFont="1" applyBorder="1" applyAlignment="1">
      <alignment horizontal="centerContinuous"/>
    </xf>
    <xf numFmtId="164" fontId="31" fillId="0" borderId="37" xfId="0" applyFont="1" applyBorder="1" applyAlignment="1">
      <alignment horizontal="center"/>
    </xf>
    <xf numFmtId="164" fontId="31" fillId="0" borderId="38" xfId="0" applyFont="1" applyBorder="1" applyAlignment="1">
      <alignment horizontal="center"/>
    </xf>
    <xf numFmtId="164" fontId="31" fillId="0" borderId="39" xfId="0" applyFont="1" applyBorder="1" applyAlignment="1">
      <alignment horizontal="center"/>
    </xf>
    <xf numFmtId="0" fontId="31" fillId="0" borderId="0" xfId="6" applyFont="1"/>
    <xf numFmtId="164" fontId="31" fillId="0" borderId="112" xfId="0" applyFont="1" applyBorder="1" applyAlignment="1">
      <alignment horizontal="center" wrapText="1"/>
    </xf>
    <xf numFmtId="164" fontId="31" fillId="0" borderId="108" xfId="0" applyFont="1" applyBorder="1" applyAlignment="1">
      <alignment horizontal="center" wrapText="1"/>
    </xf>
    <xf numFmtId="164" fontId="31" fillId="0" borderId="43" xfId="0" applyFont="1" applyBorder="1" applyAlignment="1">
      <alignment horizontal="center" wrapText="1"/>
    </xf>
    <xf numFmtId="164" fontId="31" fillId="0" borderId="7" xfId="0" applyFont="1" applyBorder="1" applyAlignment="1" applyProtection="1">
      <alignment horizontal="left" vertical="center"/>
    </xf>
    <xf numFmtId="164" fontId="31" fillId="0" borderId="6" xfId="0" applyFont="1" applyBorder="1"/>
    <xf numFmtId="164" fontId="31" fillId="0" borderId="54" xfId="0" applyFont="1" applyBorder="1"/>
    <xf numFmtId="164" fontId="31" fillId="0" borderId="7" xfId="0" applyFont="1" applyBorder="1"/>
    <xf numFmtId="164" fontId="31" fillId="0" borderId="6" xfId="0" applyFont="1" applyBorder="1" applyAlignment="1" applyProtection="1">
      <alignment horizontal="left" vertical="center"/>
    </xf>
    <xf numFmtId="164" fontId="31" fillId="0" borderId="54" xfId="0" applyFont="1" applyBorder="1" applyAlignment="1" applyProtection="1">
      <alignment horizontal="left" vertical="center"/>
    </xf>
    <xf numFmtId="164" fontId="31" fillId="0" borderId="7" xfId="0" applyFont="1" applyBorder="1" applyAlignment="1">
      <alignment vertical="center"/>
    </xf>
    <xf numFmtId="37" fontId="31" fillId="0" borderId="6" xfId="0" applyNumberFormat="1" applyFont="1" applyBorder="1" applyAlignment="1" applyProtection="1">
      <alignment horizontal="center" vertical="center"/>
      <protection locked="0"/>
    </xf>
    <xf numFmtId="164" fontId="31" fillId="0" borderId="6" xfId="0" applyFont="1" applyBorder="1" applyAlignment="1" applyProtection="1">
      <alignment horizontal="center" vertical="center"/>
    </xf>
    <xf numFmtId="1" fontId="31" fillId="0" borderId="6" xfId="0" applyNumberFormat="1" applyFont="1" applyBorder="1" applyAlignment="1" applyProtection="1">
      <alignment horizontal="center" vertical="center"/>
    </xf>
    <xf numFmtId="0" fontId="31" fillId="0" borderId="0" xfId="6" applyFont="1" applyBorder="1"/>
    <xf numFmtId="164" fontId="31" fillId="0" borderId="6" xfId="0" applyFont="1" applyFill="1" applyBorder="1" applyAlignment="1" applyProtection="1">
      <alignment horizontal="left" vertical="center"/>
    </xf>
    <xf numFmtId="164" fontId="31" fillId="0" borderId="54" xfId="0" applyFont="1" applyFill="1" applyBorder="1" applyAlignment="1" applyProtection="1">
      <alignment horizontal="left" vertical="center"/>
    </xf>
    <xf numFmtId="164" fontId="31" fillId="0" borderId="7" xfId="0" applyFont="1" applyFill="1" applyBorder="1" applyAlignment="1">
      <alignment vertical="center"/>
    </xf>
    <xf numFmtId="37" fontId="31" fillId="0" borderId="6" xfId="0" applyNumberFormat="1" applyFont="1" applyFill="1" applyBorder="1" applyAlignment="1" applyProtection="1">
      <alignment horizontal="center" vertical="center"/>
      <protection locked="0"/>
    </xf>
    <xf numFmtId="164" fontId="31" fillId="0" borderId="6" xfId="0" applyFont="1" applyFill="1" applyBorder="1" applyAlignment="1" applyProtection="1">
      <alignment horizontal="center" vertical="center"/>
    </xf>
    <xf numFmtId="1" fontId="31" fillId="0" borderId="6" xfId="0" applyNumberFormat="1" applyFont="1" applyFill="1" applyBorder="1" applyAlignment="1" applyProtection="1">
      <alignment horizontal="center" vertical="center"/>
    </xf>
    <xf numFmtId="164" fontId="31" fillId="0" borderId="9" xfId="0" applyFont="1" applyBorder="1" applyAlignment="1" applyProtection="1">
      <alignment horizontal="left" vertical="center"/>
    </xf>
    <xf numFmtId="166" fontId="31" fillId="0" borderId="6" xfId="0" applyNumberFormat="1" applyFont="1" applyFill="1" applyBorder="1" applyAlignment="1" applyProtection="1">
      <alignment horizontal="center" vertical="center"/>
      <protection locked="0"/>
    </xf>
    <xf numFmtId="164" fontId="31" fillId="0" borderId="6" xfId="0" applyFont="1" applyFill="1" applyBorder="1" applyAlignment="1">
      <alignment horizontal="center" vertical="center"/>
    </xf>
    <xf numFmtId="9" fontId="32" fillId="0" borderId="9" xfId="0" applyNumberFormat="1" applyFont="1" applyBorder="1" applyAlignment="1" applyProtection="1">
      <alignment vertical="center"/>
      <protection locked="0"/>
    </xf>
    <xf numFmtId="164" fontId="31" fillId="0" borderId="7" xfId="0" applyFont="1" applyFill="1" applyBorder="1" applyAlignment="1" applyProtection="1">
      <alignment horizontal="left" vertical="center"/>
    </xf>
    <xf numFmtId="166" fontId="31" fillId="4" borderId="6" xfId="0" applyNumberFormat="1" applyFont="1" applyFill="1" applyBorder="1" applyAlignment="1" applyProtection="1">
      <alignment horizontal="center" vertical="center"/>
      <protection locked="0"/>
    </xf>
    <xf numFmtId="1" fontId="31" fillId="0" borderId="6" xfId="0" applyNumberFormat="1" applyFont="1" applyFill="1" applyBorder="1" applyAlignment="1">
      <alignment horizontal="center" vertical="center"/>
    </xf>
    <xf numFmtId="9" fontId="31" fillId="0" borderId="9" xfId="0" applyNumberFormat="1" applyFont="1" applyBorder="1" applyAlignment="1" applyProtection="1">
      <alignment vertical="center"/>
    </xf>
    <xf numFmtId="9" fontId="31" fillId="0" borderId="9" xfId="0" applyNumberFormat="1" applyFont="1" applyBorder="1" applyAlignment="1" applyProtection="1">
      <alignment horizontal="left" vertical="center"/>
    </xf>
    <xf numFmtId="165" fontId="31" fillId="0" borderId="6" xfId="0" applyNumberFormat="1" applyFont="1" applyFill="1" applyBorder="1" applyAlignment="1" applyProtection="1">
      <alignment horizontal="center" vertical="center"/>
      <protection locked="0"/>
    </xf>
    <xf numFmtId="165" fontId="31" fillId="0" borderId="6" xfId="0" applyNumberFormat="1" applyFont="1" applyFill="1" applyBorder="1" applyAlignment="1" applyProtection="1">
      <alignment horizontal="center" vertical="center"/>
    </xf>
    <xf numFmtId="0" fontId="31" fillId="0" borderId="9" xfId="6" applyFont="1" applyFill="1" applyBorder="1" applyAlignment="1">
      <alignment vertical="center"/>
    </xf>
    <xf numFmtId="164" fontId="31" fillId="0" borderId="9" xfId="0" applyFont="1" applyFill="1" applyBorder="1" applyAlignment="1" applyProtection="1">
      <alignment horizontal="left" vertical="center"/>
    </xf>
    <xf numFmtId="164" fontId="31" fillId="0" borderId="9" xfId="0" applyFont="1" applyFill="1" applyBorder="1" applyAlignment="1" applyProtection="1">
      <alignment vertical="center" wrapText="1"/>
    </xf>
    <xf numFmtId="164" fontId="31" fillId="0" borderId="40" xfId="0" applyFont="1" applyBorder="1" applyAlignment="1" applyProtection="1">
      <alignment horizontal="center" vertical="center"/>
    </xf>
    <xf numFmtId="164" fontId="31" fillId="0" borderId="0" xfId="0" applyFont="1" applyBorder="1" applyAlignment="1" applyProtection="1">
      <alignment horizontal="left" vertical="center"/>
    </xf>
    <xf numFmtId="164" fontId="31" fillId="0" borderId="0" xfId="0" applyFont="1" applyFill="1" applyBorder="1" applyAlignment="1" applyProtection="1">
      <alignment horizontal="left" vertical="center"/>
    </xf>
    <xf numFmtId="164" fontId="31" fillId="0" borderId="0" xfId="0" applyFont="1" applyFill="1" applyBorder="1" applyAlignment="1">
      <alignment vertical="center"/>
    </xf>
    <xf numFmtId="37" fontId="31" fillId="0" borderId="61" xfId="0" applyNumberFormat="1" applyFont="1" applyFill="1" applyBorder="1" applyAlignment="1" applyProtection="1">
      <alignment horizontal="center" vertical="center"/>
      <protection locked="0"/>
    </xf>
    <xf numFmtId="164" fontId="31" fillId="0" borderId="60" xfId="0" applyFont="1" applyFill="1" applyBorder="1" applyAlignment="1" applyProtection="1">
      <alignment horizontal="center" vertical="center"/>
    </xf>
    <xf numFmtId="1" fontId="31" fillId="0" borderId="15" xfId="0" applyNumberFormat="1" applyFont="1" applyFill="1" applyBorder="1" applyAlignment="1" applyProtection="1">
      <alignment horizontal="center" vertical="center"/>
    </xf>
    <xf numFmtId="1" fontId="31" fillId="0" borderId="3" xfId="0" applyNumberFormat="1" applyFont="1" applyFill="1" applyBorder="1" applyAlignment="1" applyProtection="1">
      <alignment horizontal="center" vertical="center"/>
    </xf>
    <xf numFmtId="5" fontId="31" fillId="0" borderId="41" xfId="0" applyNumberFormat="1" applyFont="1" applyFill="1" applyBorder="1" applyAlignment="1">
      <alignment horizontal="center" vertical="center"/>
    </xf>
    <xf numFmtId="164" fontId="32" fillId="0" borderId="42" xfId="0" quotePrefix="1" applyFont="1" applyBorder="1" applyAlignment="1" applyProtection="1">
      <alignment horizontal="center" vertical="center"/>
      <protection locked="0"/>
    </xf>
    <xf numFmtId="9" fontId="31" fillId="0" borderId="19" xfId="0" applyNumberFormat="1" applyFont="1" applyBorder="1" applyAlignment="1" applyProtection="1">
      <alignment horizontal="left" vertical="center"/>
    </xf>
    <xf numFmtId="164" fontId="31" fillId="0" borderId="19" xfId="0" applyFont="1" applyFill="1" applyBorder="1" applyAlignment="1">
      <alignment vertical="center"/>
    </xf>
    <xf numFmtId="166" fontId="36" fillId="0" borderId="19" xfId="0" applyNumberFormat="1" applyFont="1" applyFill="1" applyBorder="1" applyAlignment="1" applyProtection="1">
      <alignment horizontal="center" vertical="center"/>
      <protection locked="0"/>
    </xf>
    <xf numFmtId="164" fontId="31" fillId="0" borderId="19" xfId="0" applyFont="1" applyFill="1" applyBorder="1" applyAlignment="1">
      <alignment horizontal="center" vertical="center"/>
    </xf>
    <xf numFmtId="0" fontId="31" fillId="0" borderId="0" xfId="6" applyFont="1" applyFill="1" applyBorder="1"/>
    <xf numFmtId="5" fontId="31" fillId="0" borderId="20" xfId="0" applyNumberFormat="1" applyFont="1" applyFill="1" applyBorder="1" applyAlignment="1" applyProtection="1">
      <alignment horizontal="center" vertical="center"/>
    </xf>
    <xf numFmtId="1" fontId="31" fillId="0" borderId="21" xfId="0" applyNumberFormat="1" applyFont="1" applyFill="1" applyBorder="1" applyAlignment="1" applyProtection="1">
      <alignment horizontal="left" vertical="center"/>
    </xf>
    <xf numFmtId="5" fontId="31" fillId="0" borderId="43" xfId="0" applyNumberFormat="1" applyFont="1" applyFill="1" applyBorder="1" applyAlignment="1">
      <alignment horizontal="center" vertical="center"/>
    </xf>
    <xf numFmtId="9" fontId="31" fillId="0" borderId="44" xfId="0" applyNumberFormat="1" applyFont="1" applyBorder="1" applyAlignment="1" applyProtection="1">
      <alignment vertical="center"/>
    </xf>
    <xf numFmtId="9" fontId="31" fillId="0" borderId="45" xfId="0" applyNumberFormat="1" applyFont="1" applyBorder="1" applyAlignment="1" applyProtection="1">
      <alignment vertical="center"/>
    </xf>
    <xf numFmtId="164" fontId="31" fillId="0" borderId="45" xfId="0" applyFont="1" applyFill="1" applyBorder="1" applyAlignment="1">
      <alignment vertical="center"/>
    </xf>
    <xf numFmtId="164" fontId="31" fillId="0" borderId="45" xfId="0" applyFont="1" applyFill="1" applyBorder="1" applyAlignment="1" applyProtection="1">
      <alignment horizontal="left" vertical="center"/>
    </xf>
    <xf numFmtId="166" fontId="36" fillId="0" borderId="45" xfId="0" applyNumberFormat="1" applyFont="1" applyFill="1" applyBorder="1" applyAlignment="1" applyProtection="1">
      <alignment horizontal="center" vertical="center"/>
      <protection locked="0"/>
    </xf>
    <xf numFmtId="166" fontId="31" fillId="0" borderId="45" xfId="0" applyNumberFormat="1" applyFont="1" applyFill="1" applyBorder="1" applyAlignment="1" applyProtection="1">
      <alignment horizontal="center" vertical="center"/>
    </xf>
    <xf numFmtId="1" fontId="31" fillId="0" borderId="47" xfId="0" applyNumberFormat="1" applyFont="1" applyFill="1" applyBorder="1" applyAlignment="1" applyProtection="1">
      <alignment horizontal="center" vertical="center"/>
    </xf>
    <xf numFmtId="1" fontId="31" fillId="0" borderId="46" xfId="0" applyNumberFormat="1" applyFont="1" applyFill="1" applyBorder="1" applyAlignment="1" applyProtection="1">
      <alignment horizontal="center" vertical="center"/>
    </xf>
    <xf numFmtId="5" fontId="31" fillId="0" borderId="28" xfId="0" applyNumberFormat="1" applyFont="1" applyFill="1" applyBorder="1" applyAlignment="1">
      <alignment horizontal="center" vertical="center"/>
    </xf>
    <xf numFmtId="3" fontId="31" fillId="0" borderId="0" xfId="6" applyNumberFormat="1" applyFont="1" applyBorder="1"/>
    <xf numFmtId="164" fontId="31" fillId="0" borderId="10" xfId="0" applyFont="1" applyBorder="1" applyAlignment="1" applyProtection="1">
      <alignment horizontal="center" vertical="center"/>
    </xf>
    <xf numFmtId="5" fontId="31" fillId="0" borderId="8" xfId="0" applyNumberFormat="1" applyFont="1" applyBorder="1" applyAlignment="1">
      <alignment horizontal="center" vertical="center"/>
    </xf>
    <xf numFmtId="5" fontId="31" fillId="0" borderId="8" xfId="0" applyNumberFormat="1" applyFont="1" applyFill="1" applyBorder="1" applyAlignment="1">
      <alignment horizontal="center" vertical="center"/>
    </xf>
    <xf numFmtId="165" fontId="36" fillId="0" borderId="10" xfId="0" applyNumberFormat="1" applyFont="1" applyBorder="1" applyAlignment="1" applyProtection="1">
      <alignment vertical="center"/>
      <protection locked="0"/>
    </xf>
    <xf numFmtId="167" fontId="4" fillId="4" borderId="8" xfId="0" applyNumberFormat="1" applyFont="1" applyFill="1" applyBorder="1" applyAlignment="1">
      <alignment horizontal="center"/>
    </xf>
    <xf numFmtId="0" fontId="11" fillId="0" borderId="115" xfId="0" applyNumberFormat="1" applyFont="1" applyBorder="1"/>
    <xf numFmtId="0" fontId="11" fillId="6" borderId="39" xfId="0" applyNumberFormat="1" applyFont="1" applyFill="1" applyBorder="1"/>
    <xf numFmtId="164" fontId="11" fillId="0" borderId="0" xfId="0" applyFont="1"/>
    <xf numFmtId="0" fontId="11" fillId="0" borderId="10" xfId="0" applyNumberFormat="1" applyFont="1" applyBorder="1"/>
    <xf numFmtId="0" fontId="11" fillId="0" borderId="25" xfId="0" applyNumberFormat="1" applyFont="1" applyBorder="1"/>
    <xf numFmtId="0" fontId="11" fillId="0" borderId="6" xfId="0" applyNumberFormat="1" applyFont="1" applyBorder="1"/>
    <xf numFmtId="0" fontId="11" fillId="0" borderId="8" xfId="0" applyNumberFormat="1" applyFont="1" applyBorder="1"/>
    <xf numFmtId="0" fontId="11" fillId="0" borderId="90" xfId="0" applyNumberFormat="1" applyFont="1" applyBorder="1"/>
    <xf numFmtId="173" fontId="11" fillId="0" borderId="25" xfId="1" applyNumberFormat="1" applyFont="1" applyBorder="1"/>
    <xf numFmtId="173" fontId="11" fillId="0" borderId="6" xfId="1" applyNumberFormat="1" applyFont="1" applyBorder="1"/>
    <xf numFmtId="173" fontId="11" fillId="0" borderId="8" xfId="1" applyNumberFormat="1" applyFont="1" applyBorder="1"/>
    <xf numFmtId="173" fontId="11" fillId="0" borderId="90" xfId="1" applyNumberFormat="1" applyFont="1" applyBorder="1"/>
    <xf numFmtId="0" fontId="11" fillId="0" borderId="17" xfId="0" applyNumberFormat="1" applyFont="1" applyBorder="1"/>
    <xf numFmtId="173" fontId="11" fillId="0" borderId="26" xfId="1" applyNumberFormat="1" applyFont="1" applyBorder="1"/>
    <xf numFmtId="173" fontId="11" fillId="0" borderId="18" xfId="1" applyNumberFormat="1" applyFont="1" applyBorder="1"/>
    <xf numFmtId="173" fontId="11" fillId="0" borderId="28" xfId="1" applyNumberFormat="1" applyFont="1" applyBorder="1"/>
    <xf numFmtId="173" fontId="11" fillId="0" borderId="102" xfId="1" applyNumberFormat="1" applyFont="1" applyBorder="1"/>
    <xf numFmtId="0" fontId="11" fillId="0" borderId="0" xfId="0" applyNumberFormat="1" applyFont="1"/>
    <xf numFmtId="0" fontId="11" fillId="0" borderId="22" xfId="0" applyNumberFormat="1" applyFont="1" applyBorder="1"/>
    <xf numFmtId="173" fontId="11" fillId="0" borderId="24" xfId="0" applyNumberFormat="1" applyFont="1" applyBorder="1"/>
    <xf numFmtId="173" fontId="11" fillId="0" borderId="8" xfId="0" applyNumberFormat="1" applyFont="1" applyBorder="1"/>
    <xf numFmtId="0" fontId="11" fillId="0" borderId="25" xfId="0" applyNumberFormat="1" applyFont="1" applyFill="1" applyBorder="1"/>
    <xf numFmtId="0" fontId="11" fillId="0" borderId="26" xfId="0" applyNumberFormat="1" applyFont="1" applyFill="1" applyBorder="1"/>
    <xf numFmtId="164" fontId="37" fillId="0" borderId="0" xfId="0" applyFont="1" applyFill="1"/>
    <xf numFmtId="164" fontId="8" fillId="0" borderId="0" xfId="0" applyFont="1" applyFill="1" applyAlignment="1">
      <alignment horizontal="right"/>
    </xf>
    <xf numFmtId="167" fontId="31" fillId="0" borderId="6" xfId="0" applyNumberFormat="1" applyFont="1" applyFill="1" applyBorder="1"/>
    <xf numFmtId="0" fontId="0" fillId="0" borderId="6" xfId="0" applyNumberFormat="1" applyFill="1" applyBorder="1"/>
    <xf numFmtId="170" fontId="0" fillId="0" borderId="6" xfId="0" applyNumberFormat="1" applyFill="1" applyBorder="1"/>
    <xf numFmtId="172" fontId="0" fillId="0" borderId="6" xfId="0" applyNumberFormat="1" applyFill="1" applyBorder="1"/>
    <xf numFmtId="0" fontId="4" fillId="0" borderId="0" xfId="3" applyFill="1"/>
    <xf numFmtId="0" fontId="38" fillId="0" borderId="6" xfId="0" applyNumberFormat="1" applyFont="1" applyFill="1" applyBorder="1"/>
    <xf numFmtId="164" fontId="21" fillId="0" borderId="0" xfId="0" applyFont="1" applyFill="1" applyBorder="1" applyAlignment="1">
      <alignment horizontal="left" vertical="center"/>
    </xf>
    <xf numFmtId="0" fontId="39" fillId="0" borderId="0" xfId="0" applyNumberFormat="1" applyFont="1" applyFill="1" applyBorder="1" applyAlignment="1">
      <alignment horizontal="left" vertical="center"/>
    </xf>
    <xf numFmtId="43" fontId="0" fillId="0" borderId="0" xfId="1" applyFont="1" applyProtection="1"/>
    <xf numFmtId="164" fontId="8" fillId="4" borderId="6" xfId="0" applyFont="1" applyFill="1" applyBorder="1" applyAlignment="1" applyProtection="1">
      <alignment vertical="center" wrapText="1"/>
    </xf>
    <xf numFmtId="0" fontId="9" fillId="0" borderId="0" xfId="9" applyFont="1"/>
    <xf numFmtId="0" fontId="4" fillId="0" borderId="0" xfId="9"/>
    <xf numFmtId="0" fontId="4" fillId="0" borderId="0" xfId="9" applyAlignment="1">
      <alignment horizontal="right"/>
    </xf>
    <xf numFmtId="6" fontId="4" fillId="0" borderId="0" xfId="9" applyNumberFormat="1"/>
    <xf numFmtId="0" fontId="4" fillId="0" borderId="0" xfId="9" applyFont="1"/>
    <xf numFmtId="8" fontId="4" fillId="0" borderId="0" xfId="9" applyNumberFormat="1"/>
    <xf numFmtId="0" fontId="9" fillId="0" borderId="4" xfId="9" applyFont="1" applyBorder="1"/>
    <xf numFmtId="0" fontId="4" fillId="0" borderId="4" xfId="9" applyBorder="1"/>
    <xf numFmtId="8" fontId="4" fillId="0" borderId="4" xfId="9" applyNumberFormat="1" applyBorder="1"/>
    <xf numFmtId="0" fontId="30" fillId="0" borderId="0" xfId="9" applyFont="1"/>
    <xf numFmtId="0" fontId="31" fillId="0" borderId="0" xfId="9" applyFont="1"/>
    <xf numFmtId="168" fontId="32" fillId="0" borderId="0" xfId="9" quotePrefix="1" applyNumberFormat="1" applyFont="1" applyFill="1" applyBorder="1" applyAlignment="1" applyProtection="1">
      <alignment vertical="top" wrapText="1"/>
    </xf>
    <xf numFmtId="0" fontId="4" fillId="0" borderId="4" xfId="9" applyFont="1" applyBorder="1"/>
    <xf numFmtId="8" fontId="9" fillId="0" borderId="4" xfId="9" applyNumberFormat="1" applyFont="1" applyBorder="1"/>
    <xf numFmtId="0" fontId="9" fillId="2" borderId="6" xfId="9" applyFont="1" applyFill="1" applyBorder="1" applyAlignment="1">
      <alignment vertical="center" wrapText="1"/>
    </xf>
    <xf numFmtId="0" fontId="4" fillId="0" borderId="6" xfId="9" applyBorder="1"/>
    <xf numFmtId="8" fontId="4" fillId="0" borderId="6" xfId="9" applyNumberFormat="1" applyBorder="1"/>
    <xf numFmtId="8" fontId="40" fillId="0" borderId="6" xfId="9" applyNumberFormat="1" applyFont="1" applyBorder="1"/>
    <xf numFmtId="6" fontId="0" fillId="0" borderId="0" xfId="0" applyNumberFormat="1"/>
    <xf numFmtId="0" fontId="0" fillId="0" borderId="0" xfId="0" applyNumberFormat="1" applyAlignment="1">
      <alignment vertical="top"/>
    </xf>
    <xf numFmtId="6" fontId="0" fillId="0" borderId="6" xfId="0" applyNumberFormat="1" applyBorder="1"/>
    <xf numFmtId="6" fontId="4" fillId="0" borderId="6" xfId="0" applyNumberFormat="1" applyFont="1" applyBorder="1"/>
    <xf numFmtId="0" fontId="4" fillId="0" borderId="6" xfId="0" applyNumberFormat="1" applyFont="1" applyBorder="1"/>
    <xf numFmtId="6" fontId="4" fillId="0" borderId="0" xfId="0" applyNumberFormat="1" applyFont="1" applyBorder="1"/>
    <xf numFmtId="2" fontId="0" fillId="0" borderId="0" xfId="0" applyNumberFormat="1" applyBorder="1"/>
    <xf numFmtId="0" fontId="4" fillId="0" borderId="6" xfId="0" applyNumberFormat="1" applyFont="1" applyBorder="1" applyAlignment="1">
      <alignment wrapText="1"/>
    </xf>
    <xf numFmtId="0" fontId="0" fillId="0" borderId="6" xfId="0" applyNumberFormat="1" applyBorder="1" applyAlignment="1">
      <alignment wrapText="1"/>
    </xf>
    <xf numFmtId="0" fontId="0" fillId="0" borderId="81" xfId="0" applyNumberFormat="1" applyBorder="1"/>
    <xf numFmtId="0" fontId="0" fillId="0" borderId="79" xfId="0" applyNumberFormat="1" applyBorder="1"/>
    <xf numFmtId="0" fontId="0" fillId="0" borderId="60" xfId="0" applyNumberFormat="1" applyBorder="1"/>
    <xf numFmtId="0" fontId="0" fillId="0" borderId="61" xfId="0" applyNumberFormat="1" applyBorder="1"/>
    <xf numFmtId="0" fontId="0" fillId="0" borderId="76" xfId="0" applyNumberFormat="1" applyBorder="1"/>
    <xf numFmtId="0" fontId="0" fillId="0" borderId="77" xfId="0" applyNumberFormat="1" applyBorder="1"/>
    <xf numFmtId="0" fontId="0" fillId="0" borderId="81" xfId="0" pivotButton="1" applyNumberFormat="1" applyBorder="1"/>
    <xf numFmtId="43" fontId="21" fillId="4" borderId="6" xfId="1" applyFont="1" applyFill="1" applyBorder="1" applyAlignment="1" applyProtection="1">
      <alignment horizontal="center" vertical="center"/>
      <protection locked="0"/>
    </xf>
    <xf numFmtId="167" fontId="33" fillId="0" borderId="6" xfId="2" quotePrefix="1" applyNumberFormat="1" applyFont="1" applyFill="1" applyBorder="1" applyAlignment="1" applyProtection="1">
      <alignment vertical="top" wrapText="1"/>
    </xf>
    <xf numFmtId="1" fontId="21" fillId="0" borderId="6" xfId="1" applyNumberFormat="1" applyFont="1" applyFill="1" applyBorder="1" applyAlignment="1" applyProtection="1">
      <alignment horizontal="center" vertical="center"/>
      <protection locked="0"/>
    </xf>
    <xf numFmtId="164" fontId="8" fillId="0" borderId="19" xfId="0" applyFont="1" applyFill="1" applyBorder="1" applyAlignment="1">
      <alignment vertical="center"/>
    </xf>
    <xf numFmtId="164" fontId="8" fillId="0" borderId="50" xfId="0" applyFont="1" applyFill="1" applyBorder="1" applyAlignment="1">
      <alignment vertical="center"/>
    </xf>
    <xf numFmtId="164" fontId="8" fillId="0" borderId="9" xfId="0" applyFont="1" applyFill="1" applyBorder="1" applyAlignment="1">
      <alignment vertical="center"/>
    </xf>
    <xf numFmtId="164" fontId="21" fillId="4" borderId="79" xfId="0" applyFont="1" applyFill="1" applyBorder="1" applyAlignment="1" applyProtection="1">
      <alignment horizontal="center" vertical="center"/>
      <protection locked="0"/>
    </xf>
    <xf numFmtId="164" fontId="21" fillId="0" borderId="79" xfId="0" applyFont="1" applyFill="1" applyBorder="1" applyAlignment="1" applyProtection="1">
      <alignment horizontal="center" vertical="center"/>
    </xf>
    <xf numFmtId="164" fontId="21" fillId="0" borderId="83" xfId="0" applyFont="1" applyFill="1" applyBorder="1" applyAlignment="1" applyProtection="1">
      <alignment horizontal="center" vertical="center"/>
    </xf>
    <xf numFmtId="166" fontId="21" fillId="0" borderId="108" xfId="0" applyNumberFormat="1" applyFont="1" applyFill="1" applyBorder="1" applyAlignment="1" applyProtection="1">
      <alignment horizontal="center" vertical="center"/>
      <protection locked="0"/>
    </xf>
    <xf numFmtId="37" fontId="21" fillId="0" borderId="79" xfId="0" applyNumberFormat="1" applyFont="1" applyFill="1" applyBorder="1" applyAlignment="1" applyProtection="1">
      <alignment horizontal="center" vertical="center"/>
    </xf>
    <xf numFmtId="37" fontId="21" fillId="0" borderId="80" xfId="0" applyNumberFormat="1" applyFont="1" applyFill="1" applyBorder="1" applyAlignment="1" applyProtection="1">
      <alignment horizontal="center" vertical="center"/>
    </xf>
    <xf numFmtId="164" fontId="21" fillId="4" borderId="98" xfId="0" applyFont="1" applyFill="1" applyBorder="1" applyAlignment="1">
      <alignment horizontal="center"/>
    </xf>
    <xf numFmtId="164" fontId="21" fillId="0" borderId="99" xfId="0" applyFont="1" applyFill="1" applyBorder="1" applyAlignment="1">
      <alignment horizontal="center"/>
    </xf>
    <xf numFmtId="5" fontId="21" fillId="0" borderId="9" xfId="0" applyNumberFormat="1" applyFont="1" applyFill="1" applyBorder="1" applyAlignment="1" applyProtection="1">
      <alignment horizontal="center" vertical="center"/>
    </xf>
    <xf numFmtId="5" fontId="21" fillId="0" borderId="2" xfId="0" applyNumberFormat="1" applyFont="1" applyFill="1" applyBorder="1" applyAlignment="1" applyProtection="1">
      <alignment horizontal="center" vertical="center"/>
    </xf>
    <xf numFmtId="1" fontId="21" fillId="4" borderId="6" xfId="0" applyNumberFormat="1" applyFont="1" applyFill="1" applyBorder="1" applyAlignment="1" applyProtection="1">
      <alignment horizontal="center" vertical="center"/>
      <protection locked="0"/>
    </xf>
    <xf numFmtId="164" fontId="8" fillId="0" borderId="62" xfId="0" applyFont="1" applyFill="1" applyBorder="1" applyAlignment="1" applyProtection="1">
      <alignment horizontal="center"/>
    </xf>
    <xf numFmtId="164" fontId="8" fillId="0" borderId="57" xfId="0" applyFont="1" applyFill="1" applyBorder="1" applyAlignment="1" applyProtection="1">
      <alignment horizontal="center"/>
    </xf>
    <xf numFmtId="164" fontId="8" fillId="0" borderId="56" xfId="0" applyFont="1" applyFill="1" applyBorder="1" applyAlignment="1" applyProtection="1">
      <alignment horizontal="center"/>
    </xf>
    <xf numFmtId="164" fontId="8" fillId="0" borderId="55" xfId="0" applyFont="1" applyFill="1" applyBorder="1" applyAlignment="1" applyProtection="1">
      <alignment horizontal="center"/>
    </xf>
    <xf numFmtId="164" fontId="8" fillId="0" borderId="58" xfId="0" applyFont="1" applyFill="1" applyBorder="1" applyAlignment="1" applyProtection="1">
      <alignment horizontal="center"/>
    </xf>
    <xf numFmtId="164" fontId="8" fillId="0" borderId="65" xfId="0" applyFont="1" applyFill="1" applyBorder="1" applyAlignment="1" applyProtection="1">
      <alignment horizontal="center"/>
    </xf>
    <xf numFmtId="164" fontId="8" fillId="0" borderId="66" xfId="0" applyFont="1" applyFill="1" applyBorder="1" applyAlignment="1" applyProtection="1">
      <alignment horizontal="center"/>
    </xf>
    <xf numFmtId="164" fontId="8" fillId="0" borderId="68" xfId="0" applyFont="1" applyFill="1" applyBorder="1" applyAlignment="1" applyProtection="1">
      <alignment horizontal="center"/>
    </xf>
    <xf numFmtId="2" fontId="8" fillId="0" borderId="90" xfId="0" applyNumberFormat="1" applyFont="1" applyFill="1" applyBorder="1" applyAlignment="1" applyProtection="1">
      <alignment horizontal="center" vertical="center"/>
    </xf>
    <xf numFmtId="5" fontId="8" fillId="0" borderId="89" xfId="0" applyNumberFormat="1" applyFont="1" applyFill="1" applyBorder="1" applyAlignment="1" applyProtection="1">
      <alignment horizontal="center" vertical="center"/>
    </xf>
    <xf numFmtId="164" fontId="8" fillId="0" borderId="102" xfId="0" applyFont="1" applyFill="1" applyBorder="1" applyAlignment="1">
      <alignment horizontal="center"/>
    </xf>
    <xf numFmtId="167" fontId="21" fillId="0" borderId="6" xfId="2" applyNumberFormat="1" applyFont="1" applyFill="1" applyBorder="1" applyAlignment="1" applyProtection="1">
      <alignment horizontal="center" vertical="center"/>
    </xf>
    <xf numFmtId="167" fontId="21" fillId="0" borderId="85" xfId="0" applyNumberFormat="1" applyFont="1" applyFill="1" applyBorder="1" applyAlignment="1" applyProtection="1">
      <alignment horizontal="center" vertical="center"/>
      <protection locked="0"/>
    </xf>
    <xf numFmtId="167" fontId="21" fillId="0" borderId="77" xfId="0" applyNumberFormat="1" applyFont="1" applyFill="1" applyBorder="1" applyAlignment="1" applyProtection="1">
      <alignment horizontal="center" vertical="center"/>
      <protection locked="0"/>
    </xf>
    <xf numFmtId="167" fontId="21" fillId="0" borderId="79" xfId="0" applyNumberFormat="1" applyFont="1" applyFill="1" applyBorder="1" applyAlignment="1" applyProtection="1">
      <alignment horizontal="center" vertical="center"/>
      <protection locked="0"/>
    </xf>
    <xf numFmtId="174" fontId="37" fillId="0" borderId="0" xfId="0" applyNumberFormat="1" applyFont="1" applyFill="1" applyAlignment="1">
      <alignment horizontal="left"/>
    </xf>
    <xf numFmtId="0" fontId="3" fillId="0" borderId="0" xfId="10"/>
    <xf numFmtId="7" fontId="3" fillId="0" borderId="0" xfId="10" applyNumberFormat="1"/>
    <xf numFmtId="0" fontId="3" fillId="0" borderId="6" xfId="10" applyBorder="1" applyAlignment="1">
      <alignment horizontal="center" vertical="center"/>
    </xf>
    <xf numFmtId="0" fontId="3" fillId="0" borderId="6" xfId="10" applyBorder="1"/>
    <xf numFmtId="5" fontId="3" fillId="0" borderId="6" xfId="10" applyNumberFormat="1" applyBorder="1"/>
    <xf numFmtId="7" fontId="3" fillId="0" borderId="6" xfId="10" applyNumberFormat="1" applyBorder="1"/>
    <xf numFmtId="0" fontId="41" fillId="0" borderId="6" xfId="10" applyFont="1" applyBorder="1"/>
    <xf numFmtId="5" fontId="41" fillId="0" borderId="6" xfId="10" applyNumberFormat="1" applyFont="1" applyBorder="1"/>
    <xf numFmtId="7" fontId="41" fillId="0" borderId="6" xfId="10" applyNumberFormat="1" applyFont="1" applyBorder="1"/>
    <xf numFmtId="0" fontId="41" fillId="0" borderId="0" xfId="10" applyFont="1"/>
    <xf numFmtId="0" fontId="39" fillId="0" borderId="6" xfId="0" applyNumberFormat="1" applyFont="1" applyBorder="1" applyAlignment="1">
      <alignment horizontal="left" vertical="center"/>
    </xf>
    <xf numFmtId="173" fontId="39" fillId="0" borderId="6" xfId="1" applyNumberFormat="1" applyFont="1" applyBorder="1" applyAlignment="1">
      <alignment horizontal="left" vertical="center"/>
    </xf>
    <xf numFmtId="173" fontId="39" fillId="0" borderId="6" xfId="1" applyNumberFormat="1" applyFont="1" applyBorder="1"/>
    <xf numFmtId="0" fontId="39" fillId="0" borderId="6" xfId="0" applyNumberFormat="1" applyFont="1" applyFill="1" applyBorder="1" applyAlignment="1">
      <alignment horizontal="left" vertical="center"/>
    </xf>
    <xf numFmtId="0" fontId="42" fillId="0" borderId="0" xfId="0" applyNumberFormat="1" applyFont="1"/>
    <xf numFmtId="0" fontId="43" fillId="0" borderId="0" xfId="0" applyNumberFormat="1" applyFont="1"/>
    <xf numFmtId="0" fontId="44" fillId="0" borderId="0" xfId="0" applyNumberFormat="1" applyFont="1"/>
    <xf numFmtId="0" fontId="44" fillId="0" borderId="0" xfId="9" applyFont="1"/>
    <xf numFmtId="164" fontId="42" fillId="0" borderId="0" xfId="0" applyFont="1"/>
    <xf numFmtId="0" fontId="44" fillId="0" borderId="0" xfId="4" applyFont="1" applyBorder="1"/>
    <xf numFmtId="0" fontId="47" fillId="0" borderId="0" xfId="10" applyFont="1"/>
    <xf numFmtId="0" fontId="46" fillId="0" borderId="0" xfId="10" applyFont="1"/>
    <xf numFmtId="0" fontId="45" fillId="0" borderId="0" xfId="10" applyFont="1"/>
    <xf numFmtId="174" fontId="47" fillId="0" borderId="0" xfId="10" applyNumberFormat="1" applyFont="1" applyAlignment="1">
      <alignment horizontal="left"/>
    </xf>
    <xf numFmtId="0" fontId="48" fillId="6" borderId="6" xfId="10" applyFont="1" applyFill="1" applyBorder="1" applyAlignment="1">
      <alignment horizontal="center"/>
    </xf>
    <xf numFmtId="164" fontId="0" fillId="0" borderId="6" xfId="0" applyBorder="1"/>
    <xf numFmtId="0" fontId="49" fillId="6" borderId="6" xfId="0" quotePrefix="1" applyNumberFormat="1" applyFont="1" applyFill="1" applyBorder="1" applyAlignment="1">
      <alignment horizontal="center" vertical="center" wrapText="1"/>
    </xf>
    <xf numFmtId="0" fontId="49" fillId="6" borderId="6" xfId="0" applyNumberFormat="1" applyFont="1" applyFill="1" applyBorder="1" applyAlignment="1">
      <alignment horizontal="center" vertical="center" wrapText="1"/>
    </xf>
    <xf numFmtId="43" fontId="49" fillId="6" borderId="6" xfId="1" applyFont="1" applyFill="1" applyBorder="1" applyAlignment="1">
      <alignment horizontal="center" vertical="center" wrapText="1"/>
    </xf>
    <xf numFmtId="5" fontId="3" fillId="0" borderId="0" xfId="10" applyNumberFormat="1"/>
    <xf numFmtId="0" fontId="2" fillId="0" borderId="0" xfId="10" applyFont="1"/>
    <xf numFmtId="43" fontId="3" fillId="0" borderId="0" xfId="1" applyFont="1"/>
    <xf numFmtId="43" fontId="0" fillId="0" borderId="0" xfId="1" applyFont="1"/>
    <xf numFmtId="0" fontId="1" fillId="0" borderId="0" xfId="10" applyFont="1"/>
    <xf numFmtId="0" fontId="2" fillId="0" borderId="6" xfId="10" applyFont="1" applyBorder="1"/>
    <xf numFmtId="0" fontId="3" fillId="0" borderId="0" xfId="10" applyAlignment="1">
      <alignment horizontal="right"/>
    </xf>
    <xf numFmtId="14" fontId="37" fillId="0" borderId="0" xfId="0" applyNumberFormat="1" applyFont="1" applyFill="1" applyAlignment="1">
      <alignment horizontal="left"/>
    </xf>
    <xf numFmtId="0" fontId="9" fillId="0" borderId="6" xfId="0" applyNumberFormat="1" applyFont="1" applyBorder="1"/>
    <xf numFmtId="0" fontId="0" fillId="0" borderId="6" xfId="0" applyNumberFormat="1" applyBorder="1" applyAlignment="1">
      <alignment vertical="top"/>
    </xf>
    <xf numFmtId="0" fontId="1" fillId="0" borderId="6" xfId="10" applyFont="1" applyBorder="1"/>
    <xf numFmtId="7" fontId="1" fillId="0" borderId="6" xfId="10" applyNumberFormat="1" applyFont="1" applyBorder="1"/>
    <xf numFmtId="43" fontId="11" fillId="0" borderId="8" xfId="0" applyNumberFormat="1" applyFont="1" applyBorder="1"/>
    <xf numFmtId="175" fontId="11" fillId="0" borderId="8" xfId="0" applyNumberFormat="1" applyFont="1" applyBorder="1"/>
    <xf numFmtId="176" fontId="11" fillId="0" borderId="8" xfId="0" applyNumberFormat="1" applyFont="1" applyBorder="1"/>
    <xf numFmtId="177" fontId="11" fillId="0" borderId="28" xfId="0" applyNumberFormat="1" applyFont="1" applyBorder="1"/>
    <xf numFmtId="164" fontId="11" fillId="0" borderId="110" xfId="0" applyFont="1" applyBorder="1"/>
    <xf numFmtId="164" fontId="11" fillId="0" borderId="116" xfId="0" applyFont="1" applyBorder="1"/>
    <xf numFmtId="164" fontId="21" fillId="0" borderId="0" xfId="0" applyFont="1" applyFill="1" applyBorder="1" applyAlignment="1">
      <alignment horizontal="left" vertical="center"/>
    </xf>
    <xf numFmtId="164" fontId="26" fillId="0" borderId="0" xfId="0" applyFont="1" applyFill="1" applyAlignment="1" applyProtection="1">
      <alignment horizontal="center"/>
    </xf>
    <xf numFmtId="164" fontId="21" fillId="0" borderId="59" xfId="0" applyFont="1" applyFill="1" applyBorder="1" applyAlignment="1" applyProtection="1">
      <alignment horizontal="center" textRotation="90"/>
    </xf>
    <xf numFmtId="164" fontId="21" fillId="0" borderId="64" xfId="0" applyFont="1" applyFill="1" applyBorder="1" applyAlignment="1" applyProtection="1">
      <alignment horizontal="center" textRotation="90"/>
    </xf>
    <xf numFmtId="164" fontId="21" fillId="0" borderId="69" xfId="0" applyFont="1" applyFill="1" applyBorder="1" applyAlignment="1" applyProtection="1">
      <alignment horizontal="center" textRotation="90"/>
    </xf>
    <xf numFmtId="164" fontId="8" fillId="0" borderId="0" xfId="0" applyFont="1" applyFill="1" applyAlignment="1">
      <alignment horizontal="left" vertical="center" wrapText="1"/>
    </xf>
    <xf numFmtId="164" fontId="26" fillId="0" borderId="0" xfId="0" applyFont="1" applyFill="1" applyAlignment="1" applyProtection="1">
      <alignment horizontal="center" wrapText="1"/>
    </xf>
    <xf numFmtId="164" fontId="31" fillId="0" borderId="7" xfId="0" applyFont="1" applyFill="1" applyBorder="1" applyAlignment="1" applyProtection="1">
      <alignment horizontal="left" vertical="center" wrapText="1"/>
    </xf>
    <xf numFmtId="164" fontId="31" fillId="0" borderId="6" xfId="0" applyFont="1" applyFill="1" applyBorder="1" applyAlignment="1">
      <alignment vertical="center" wrapText="1"/>
    </xf>
    <xf numFmtId="0" fontId="31" fillId="0" borderId="6" xfId="0" applyNumberFormat="1" applyFont="1" applyFill="1" applyBorder="1" applyAlignment="1" applyProtection="1">
      <alignment horizontal="center" vertical="center"/>
      <protection locked="0"/>
    </xf>
    <xf numFmtId="0" fontId="31" fillId="0" borderId="8" xfId="0" applyNumberFormat="1" applyFont="1" applyFill="1" applyBorder="1" applyAlignment="1" applyProtection="1">
      <alignment horizontal="center" vertical="center"/>
      <protection locked="0"/>
    </xf>
    <xf numFmtId="164" fontId="26" fillId="0" borderId="0" xfId="0" applyFont="1" applyBorder="1" applyAlignment="1" applyProtection="1">
      <alignment horizontal="center" wrapText="1"/>
    </xf>
    <xf numFmtId="164" fontId="31" fillId="0" borderId="113" xfId="0" applyFont="1" applyBorder="1" applyAlignment="1">
      <alignment horizontal="center"/>
    </xf>
    <xf numFmtId="164" fontId="31" fillId="0" borderId="114" xfId="0" applyFont="1" applyBorder="1" applyAlignment="1">
      <alignment horizontal="center"/>
    </xf>
    <xf numFmtId="164" fontId="31" fillId="0" borderId="6" xfId="0" applyFont="1" applyBorder="1" applyAlignment="1">
      <alignment horizontal="center" vertical="center" wrapText="1"/>
    </xf>
    <xf numFmtId="164" fontId="31" fillId="0" borderId="8" xfId="0" applyFont="1" applyBorder="1" applyAlignment="1">
      <alignment horizontal="center" vertical="center" wrapText="1"/>
    </xf>
    <xf numFmtId="164" fontId="31" fillId="0" borderId="60" xfId="0" applyFont="1" applyBorder="1" applyAlignment="1">
      <alignment horizontal="center" wrapText="1"/>
    </xf>
    <xf numFmtId="164" fontId="31" fillId="0" borderId="100" xfId="0" applyFont="1" applyBorder="1" applyAlignment="1">
      <alignment horizontal="center" wrapText="1"/>
    </xf>
    <xf numFmtId="164" fontId="31" fillId="0" borderId="53" xfId="0" applyFont="1" applyBorder="1" applyAlignment="1" applyProtection="1">
      <alignment horizontal="center"/>
    </xf>
    <xf numFmtId="164" fontId="31" fillId="0" borderId="0" xfId="0" applyFont="1" applyBorder="1" applyAlignment="1" applyProtection="1">
      <alignment horizontal="center"/>
    </xf>
    <xf numFmtId="164" fontId="31" fillId="0" borderId="100" xfId="0" applyFont="1" applyBorder="1" applyAlignment="1" applyProtection="1">
      <alignment horizontal="center"/>
    </xf>
    <xf numFmtId="164" fontId="26" fillId="4" borderId="0" xfId="0" applyFont="1" applyFill="1" applyBorder="1" applyAlignment="1" applyProtection="1">
      <alignment horizontal="center" wrapText="1"/>
    </xf>
    <xf numFmtId="0" fontId="11" fillId="6" borderId="22" xfId="0" applyNumberFormat="1" applyFont="1" applyFill="1" applyBorder="1" applyAlignment="1">
      <alignment horizontal="center"/>
    </xf>
    <xf numFmtId="0" fontId="11" fillId="6" borderId="23" xfId="0" applyNumberFormat="1" applyFont="1" applyFill="1" applyBorder="1" applyAlignment="1">
      <alignment horizontal="center"/>
    </xf>
    <xf numFmtId="0" fontId="11" fillId="6" borderId="24" xfId="0" applyNumberFormat="1" applyFont="1" applyFill="1" applyBorder="1" applyAlignment="1">
      <alignment horizontal="center"/>
    </xf>
    <xf numFmtId="0" fontId="3" fillId="0" borderId="6" xfId="10" applyBorder="1" applyAlignment="1">
      <alignment horizontal="center"/>
    </xf>
    <xf numFmtId="0" fontId="3" fillId="0" borderId="6" xfId="10" applyBorder="1" applyAlignment="1">
      <alignment horizontal="center" vertical="center" wrapText="1"/>
    </xf>
    <xf numFmtId="0" fontId="3" fillId="0" borderId="6" xfId="10" applyBorder="1" applyAlignment="1">
      <alignment horizontal="center" vertical="center"/>
    </xf>
    <xf numFmtId="0" fontId="8" fillId="0" borderId="0" xfId="0" applyNumberFormat="1" applyFont="1" applyAlignment="1">
      <alignment horizontal="left" wrapText="1"/>
    </xf>
    <xf numFmtId="0" fontId="34" fillId="0" borderId="0" xfId="0" applyNumberFormat="1" applyFont="1" applyAlignment="1">
      <alignment horizontal="left" wrapText="1"/>
    </xf>
    <xf numFmtId="0" fontId="4" fillId="0" borderId="0" xfId="9" applyAlignment="1">
      <alignment horizontal="left" vertical="top" wrapText="1"/>
    </xf>
    <xf numFmtId="0" fontId="9" fillId="0" borderId="6" xfId="0" applyNumberFormat="1" applyFont="1" applyBorder="1" applyAlignment="1">
      <alignment horizontal="center" vertical="center"/>
    </xf>
    <xf numFmtId="164" fontId="10" fillId="0" borderId="4" xfId="8" applyFont="1" applyFill="1" applyBorder="1" applyAlignment="1">
      <alignment horizontal="left" wrapText="1"/>
    </xf>
  </cellXfs>
  <cellStyles count="11">
    <cellStyle name="Comma" xfId="1" builtinId="3"/>
    <cellStyle name="Currency" xfId="2" builtinId="4"/>
    <cellStyle name="Normal" xfId="0" builtinId="0"/>
    <cellStyle name="Normal 2" xfId="9"/>
    <cellStyle name="Normal 3" xfId="10"/>
    <cellStyle name="Normal_Cost Analysis - Testing and Monitoring - 20101104 (QA 20101110)" xfId="3"/>
    <cellStyle name="Normal_HMIWI EG SS" xfId="4"/>
    <cellStyle name="Normal_ICR Cost Inputs" xfId="5"/>
    <cellStyle name="Normal_Sheet1" xfId="6"/>
    <cellStyle name="Normal_Sheet2" xfId="7"/>
    <cellStyle name="Normal_SSI Burden Estimate BML 060710"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B2:C23"/>
  <sheetViews>
    <sheetView tabSelected="1" workbookViewId="0">
      <selection activeCell="B37" sqref="B37"/>
    </sheetView>
  </sheetViews>
  <sheetFormatPr defaultRowHeight="10.5"/>
  <cols>
    <col min="2" max="2" width="26.6640625" customWidth="1"/>
    <col min="3" max="3" width="52.6640625" customWidth="1"/>
  </cols>
  <sheetData>
    <row r="2" spans="2:3" ht="21">
      <c r="B2" s="491" t="s">
        <v>355</v>
      </c>
      <c r="C2" s="492"/>
    </row>
    <row r="3" spans="2:3" ht="11.25">
      <c r="B3" s="493"/>
      <c r="C3" s="492"/>
    </row>
    <row r="4" spans="2:3" ht="21">
      <c r="B4" s="491" t="s">
        <v>406</v>
      </c>
      <c r="C4" s="492"/>
    </row>
    <row r="5" spans="2:3" ht="11.25">
      <c r="B5" s="493"/>
      <c r="C5" s="492"/>
    </row>
    <row r="6" spans="2:3" ht="21">
      <c r="B6" s="494">
        <v>40948</v>
      </c>
      <c r="C6" s="492"/>
    </row>
    <row r="7" spans="2:3" ht="11.25">
      <c r="B7" s="492"/>
      <c r="C7" s="492"/>
    </row>
    <row r="8" spans="2:3" ht="12.75">
      <c r="B8" s="495" t="s">
        <v>356</v>
      </c>
      <c r="C8" s="495" t="s">
        <v>357</v>
      </c>
    </row>
    <row r="9" spans="2:3">
      <c r="B9" s="496" t="s">
        <v>358</v>
      </c>
      <c r="C9" s="496" t="s">
        <v>372</v>
      </c>
    </row>
    <row r="10" spans="2:3">
      <c r="B10" s="496" t="s">
        <v>359</v>
      </c>
      <c r="C10" s="496" t="s">
        <v>373</v>
      </c>
    </row>
    <row r="11" spans="2:3">
      <c r="B11" s="496" t="s">
        <v>360</v>
      </c>
      <c r="C11" s="496" t="s">
        <v>374</v>
      </c>
    </row>
    <row r="12" spans="2:3">
      <c r="B12" s="496" t="s">
        <v>361</v>
      </c>
      <c r="C12" s="496" t="s">
        <v>375</v>
      </c>
    </row>
    <row r="13" spans="2:3">
      <c r="B13" s="496" t="s">
        <v>362</v>
      </c>
      <c r="C13" s="496" t="s">
        <v>376</v>
      </c>
    </row>
    <row r="14" spans="2:3">
      <c r="B14" s="496" t="s">
        <v>363</v>
      </c>
      <c r="C14" s="496" t="s">
        <v>377</v>
      </c>
    </row>
    <row r="15" spans="2:3">
      <c r="B15" s="496" t="s">
        <v>364</v>
      </c>
      <c r="C15" s="496" t="s">
        <v>378</v>
      </c>
    </row>
    <row r="16" spans="2:3">
      <c r="B16" s="496" t="s">
        <v>365</v>
      </c>
      <c r="C16" s="496" t="s">
        <v>379</v>
      </c>
    </row>
    <row r="17" spans="2:3">
      <c r="B17" s="496" t="s">
        <v>366</v>
      </c>
      <c r="C17" s="496" t="s">
        <v>380</v>
      </c>
    </row>
    <row r="18" spans="2:3">
      <c r="B18" s="496" t="s">
        <v>410</v>
      </c>
      <c r="C18" s="496" t="s">
        <v>411</v>
      </c>
    </row>
    <row r="19" spans="2:3">
      <c r="B19" s="496" t="s">
        <v>367</v>
      </c>
      <c r="C19" s="496" t="s">
        <v>381</v>
      </c>
    </row>
    <row r="20" spans="2:3">
      <c r="B20" s="496" t="s">
        <v>368</v>
      </c>
      <c r="C20" s="496" t="s">
        <v>382</v>
      </c>
    </row>
    <row r="21" spans="2:3">
      <c r="B21" s="496" t="s">
        <v>369</v>
      </c>
      <c r="C21" s="496" t="s">
        <v>383</v>
      </c>
    </row>
    <row r="22" spans="2:3">
      <c r="B22" s="496" t="s">
        <v>370</v>
      </c>
      <c r="C22" s="496" t="s">
        <v>384</v>
      </c>
    </row>
    <row r="23" spans="2:3">
      <c r="B23" s="496" t="s">
        <v>371</v>
      </c>
      <c r="C23" s="496" t="s">
        <v>385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7"/>
  <dimension ref="B1:F18"/>
  <sheetViews>
    <sheetView workbookViewId="0">
      <selection activeCell="E27" sqref="E27"/>
    </sheetView>
  </sheetViews>
  <sheetFormatPr defaultRowHeight="12.75"/>
  <cols>
    <col min="1" max="1" width="9.33203125" style="371"/>
    <col min="2" max="2" width="41" style="371" bestFit="1" customWidth="1"/>
    <col min="3" max="3" width="11.6640625" style="371" bestFit="1" customWidth="1"/>
    <col min="4" max="4" width="16.83203125" style="371" bestFit="1" customWidth="1"/>
    <col min="5" max="5" width="14.83203125" style="371" bestFit="1" customWidth="1"/>
    <col min="6" max="6" width="14.6640625" style="371" bestFit="1" customWidth="1"/>
    <col min="7" max="16384" width="9.33203125" style="371"/>
  </cols>
  <sheetData>
    <row r="1" spans="2:6" ht="20.25">
      <c r="B1" s="487" t="s">
        <v>413</v>
      </c>
    </row>
    <row r="2" spans="2:6" ht="13.5" thickBot="1"/>
    <row r="3" spans="2:6">
      <c r="B3" s="369"/>
      <c r="C3" s="540" t="s">
        <v>217</v>
      </c>
      <c r="D3" s="541"/>
      <c r="E3" s="542"/>
      <c r="F3" s="370" t="s">
        <v>218</v>
      </c>
    </row>
    <row r="4" spans="2:6">
      <c r="B4" s="372"/>
      <c r="C4" s="373" t="s">
        <v>9</v>
      </c>
      <c r="D4" s="374" t="s">
        <v>219</v>
      </c>
      <c r="E4" s="375" t="s">
        <v>220</v>
      </c>
      <c r="F4" s="376" t="s">
        <v>9</v>
      </c>
    </row>
    <row r="5" spans="2:6">
      <c r="B5" s="372" t="s">
        <v>181</v>
      </c>
      <c r="C5" s="377">
        <f>'PVC YR 1'!J$46+'PVC YR 1'!K$46+'PVC YR 1'!L$46</f>
        <v>2921</v>
      </c>
      <c r="D5" s="378">
        <v>15</v>
      </c>
      <c r="E5" s="379">
        <f>'PVC YR 1'!O$46</f>
        <v>75</v>
      </c>
      <c r="F5" s="380">
        <f>'PVC YR 1'!J$61+'PVC YR 1'!K$61+'PVC YR 1'!L$61</f>
        <v>0</v>
      </c>
    </row>
    <row r="6" spans="2:6">
      <c r="B6" s="372" t="s">
        <v>182</v>
      </c>
      <c r="C6" s="377">
        <f>'PVC YR 2'!J$46+'PVC YR 2'!K$46+'PVC YR 2'!L$46</f>
        <v>1646.34</v>
      </c>
      <c r="D6" s="378">
        <v>15</v>
      </c>
      <c r="E6" s="379">
        <f>'PVC YR 2'!O$46</f>
        <v>30</v>
      </c>
      <c r="F6" s="380">
        <f>'PVC YR 2'!J$61+'PVC YR 2'!K$61+'PVC YR 2'!L$61</f>
        <v>1638.75</v>
      </c>
    </row>
    <row r="7" spans="2:6">
      <c r="B7" s="372" t="s">
        <v>183</v>
      </c>
      <c r="C7" s="377">
        <f>'PVC YR 3'!J$46+'PVC YR 3'!K$46+'PVC YR 3'!L$46</f>
        <v>1646.34</v>
      </c>
      <c r="D7" s="378">
        <v>15</v>
      </c>
      <c r="E7" s="379">
        <f>'PVC YR 3'!O$46</f>
        <v>30</v>
      </c>
      <c r="F7" s="380">
        <f>'PVC YR 3'!J$61+'PVC YR 3'!K$61+'PVC YR 3'!L$61</f>
        <v>1638.75</v>
      </c>
    </row>
    <row r="8" spans="2:6">
      <c r="B8" s="372" t="s">
        <v>41</v>
      </c>
      <c r="C8" s="377">
        <f>SUM(C5:C7)</f>
        <v>6213.68</v>
      </c>
      <c r="D8" s="378">
        <f t="shared" ref="D8:F8" si="0">SUM(D5:D7)</f>
        <v>45</v>
      </c>
      <c r="E8" s="379">
        <f t="shared" si="0"/>
        <v>135</v>
      </c>
      <c r="F8" s="380">
        <f t="shared" si="0"/>
        <v>3277.5</v>
      </c>
    </row>
    <row r="9" spans="2:6" ht="13.5" thickBot="1">
      <c r="B9" s="381" t="s">
        <v>221</v>
      </c>
      <c r="C9" s="382">
        <f>AVERAGE(C5:C7)</f>
        <v>2071.2266666666669</v>
      </c>
      <c r="D9" s="383">
        <f t="shared" ref="D9:F9" si="1">AVERAGE(D5:D7)</f>
        <v>15</v>
      </c>
      <c r="E9" s="384">
        <f t="shared" si="1"/>
        <v>45</v>
      </c>
      <c r="F9" s="385">
        <f t="shared" si="1"/>
        <v>1092.5</v>
      </c>
    </row>
    <row r="10" spans="2:6" ht="13.5" thickBot="1">
      <c r="B10" s="386"/>
      <c r="C10" s="386"/>
      <c r="D10" s="386"/>
      <c r="E10" s="386"/>
      <c r="F10" s="386"/>
    </row>
    <row r="11" spans="2:6">
      <c r="B11" s="387" t="s">
        <v>222</v>
      </c>
      <c r="C11" s="388">
        <f>C8+F8</f>
        <v>9491.18</v>
      </c>
      <c r="D11" s="386"/>
      <c r="E11" s="386"/>
      <c r="F11" s="386"/>
    </row>
    <row r="12" spans="2:6">
      <c r="B12" s="373" t="s">
        <v>223</v>
      </c>
      <c r="C12" s="389">
        <f>C9+F9</f>
        <v>3163.7266666666669</v>
      </c>
      <c r="D12" s="386"/>
      <c r="E12" s="386"/>
      <c r="F12" s="386"/>
    </row>
    <row r="13" spans="2:6">
      <c r="B13" s="373" t="s">
        <v>224</v>
      </c>
      <c r="C13" s="512">
        <f>E9/D9</f>
        <v>3</v>
      </c>
      <c r="D13" s="386"/>
      <c r="E13" s="386"/>
      <c r="F13" s="386"/>
    </row>
    <row r="14" spans="2:6">
      <c r="B14" s="373" t="s">
        <v>225</v>
      </c>
      <c r="C14" s="513">
        <f>C12/E9</f>
        <v>70.305037037037039</v>
      </c>
      <c r="D14" s="386"/>
      <c r="E14" s="386"/>
      <c r="F14" s="386"/>
    </row>
    <row r="15" spans="2:6">
      <c r="B15" s="390" t="s">
        <v>226</v>
      </c>
      <c r="C15" s="514">
        <f>C9/E9</f>
        <v>46.027259259259267</v>
      </c>
      <c r="D15" s="386"/>
      <c r="E15" s="386"/>
      <c r="F15" s="386"/>
    </row>
    <row r="16" spans="2:6" ht="13.5" thickBot="1">
      <c r="B16" s="391" t="s">
        <v>227</v>
      </c>
      <c r="C16" s="515">
        <f>F9/E9</f>
        <v>24.277777777777779</v>
      </c>
      <c r="D16" s="386"/>
      <c r="E16" s="386"/>
      <c r="F16" s="386"/>
    </row>
    <row r="17" spans="2:3" ht="13.5" thickBot="1"/>
    <row r="18" spans="2:3" ht="13.5" thickBot="1">
      <c r="B18" s="516" t="s">
        <v>414</v>
      </c>
      <c r="C18" s="517">
        <f>'PVC Summary-PV'!G10/Hrs_Responses!E9</f>
        <v>34494.455575425367</v>
      </c>
    </row>
  </sheetData>
  <mergeCells count="1">
    <mergeCell ref="C3: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tabColor rgb="FF92D050"/>
  </sheetPr>
  <dimension ref="A1:Q43"/>
  <sheetViews>
    <sheetView view="pageBreakPreview" zoomScaleNormal="100" zoomScaleSheetLayoutView="100" workbookViewId="0">
      <selection activeCell="J29" sqref="J29"/>
    </sheetView>
  </sheetViews>
  <sheetFormatPr defaultRowHeight="15"/>
  <cols>
    <col min="1" max="1" width="9.33203125" style="471"/>
    <col min="2" max="2" width="25.83203125" style="471" bestFit="1" customWidth="1"/>
    <col min="3" max="3" width="16.33203125" style="471" bestFit="1" customWidth="1"/>
    <col min="4" max="4" width="29.83203125" style="471" customWidth="1"/>
    <col min="5" max="5" width="18.6640625" style="471" bestFit="1" customWidth="1"/>
    <col min="6" max="7" width="19.83203125" style="471" bestFit="1" customWidth="1"/>
    <col min="8" max="8" width="19.1640625" style="471" customWidth="1"/>
    <col min="9" max="9" width="9.6640625" style="471" bestFit="1" customWidth="1"/>
    <col min="10" max="11" width="11.5" style="471" bestFit="1" customWidth="1"/>
    <col min="12" max="16384" width="9.33203125" style="471"/>
  </cols>
  <sheetData>
    <row r="1" spans="1:17">
      <c r="B1" s="392" t="s">
        <v>407</v>
      </c>
    </row>
    <row r="2" spans="1:17">
      <c r="B2" s="470">
        <v>40948</v>
      </c>
    </row>
    <row r="3" spans="1:17">
      <c r="B3" s="507"/>
    </row>
    <row r="5" spans="1:17">
      <c r="A5" s="480" t="s">
        <v>345</v>
      </c>
    </row>
    <row r="7" spans="1:17">
      <c r="B7" s="471" t="s">
        <v>346</v>
      </c>
    </row>
    <row r="8" spans="1:17">
      <c r="B8" s="471" t="s">
        <v>347</v>
      </c>
    </row>
    <row r="9" spans="1:17">
      <c r="B9" s="471" t="s">
        <v>348</v>
      </c>
    </row>
    <row r="10" spans="1:17">
      <c r="B10" s="471" t="s">
        <v>349</v>
      </c>
    </row>
    <row r="13" spans="1:17">
      <c r="B13" s="543" t="s">
        <v>327</v>
      </c>
      <c r="C13" s="543"/>
      <c r="D13" s="543"/>
      <c r="E13" s="543"/>
      <c r="F13" s="543"/>
      <c r="G13" s="543"/>
      <c r="H13" s="543"/>
    </row>
    <row r="14" spans="1:17">
      <c r="B14" s="544" t="s">
        <v>344</v>
      </c>
      <c r="C14" s="544" t="s">
        <v>328</v>
      </c>
      <c r="D14" s="544" t="s">
        <v>330</v>
      </c>
      <c r="E14" s="545" t="s">
        <v>329</v>
      </c>
      <c r="F14" s="545"/>
      <c r="G14" s="545"/>
      <c r="H14" s="544" t="s">
        <v>337</v>
      </c>
      <c r="K14"/>
      <c r="L14"/>
      <c r="M14"/>
      <c r="N14"/>
      <c r="O14"/>
      <c r="P14"/>
      <c r="Q14"/>
    </row>
    <row r="15" spans="1:17">
      <c r="B15" s="544"/>
      <c r="C15" s="544"/>
      <c r="D15" s="544"/>
      <c r="E15" s="473" t="s">
        <v>326</v>
      </c>
      <c r="F15" s="473" t="s">
        <v>325</v>
      </c>
      <c r="G15" s="473" t="s">
        <v>324</v>
      </c>
      <c r="H15" s="544"/>
      <c r="J15" s="500"/>
      <c r="K15"/>
      <c r="L15"/>
      <c r="M15"/>
      <c r="N15"/>
      <c r="O15"/>
      <c r="P15"/>
      <c r="Q15"/>
    </row>
    <row r="16" spans="1:17">
      <c r="B16" s="474" t="s">
        <v>323</v>
      </c>
      <c r="C16" s="475">
        <f>SUM('PVC YR 1'!$M$16:$N$16)/7+'PVC YR 1'!$M$20+SUM('PVC YR 1'!$M$39:$M$44)/7</f>
        <v>20446.193914285715</v>
      </c>
      <c r="D16" s="510" t="s">
        <v>336</v>
      </c>
      <c r="E16" s="475">
        <f>'PVC YR 1'!$M$26+'PVC YR 1'!$M$53</f>
        <v>21537.192599999998</v>
      </c>
      <c r="F16" s="476">
        <f>'PVC YR 2'!$M$26+SUM('PVC YR 2'!$M$43:$M$44)/7+'PVC YR 2'!$M$53</f>
        <v>54961.796699999999</v>
      </c>
      <c r="G16" s="476">
        <f>'PVC YR 3'!$M$26+SUM('PVC YR 3'!$M$43:$M$44)/7+'PVC YR 3'!$M$53</f>
        <v>54961.796699999999</v>
      </c>
      <c r="H16" s="474" t="s">
        <v>341</v>
      </c>
      <c r="J16" s="472"/>
      <c r="K16"/>
      <c r="L16"/>
      <c r="M16"/>
      <c r="N16"/>
      <c r="O16"/>
      <c r="P16"/>
      <c r="Q16"/>
    </row>
    <row r="17" spans="2:17">
      <c r="B17" s="474" t="s">
        <v>322</v>
      </c>
      <c r="C17" s="475">
        <f>SUM('PVC YR 1'!$M$16:$N$16)/7+'PVC YR 1'!$M$19+'PVC YR 1'!$M$32+SUM('PVC YR 1'!$M$39:$M$44)/7</f>
        <v>70590.869614285708</v>
      </c>
      <c r="D17" s="476" t="s">
        <v>335</v>
      </c>
      <c r="E17" s="475">
        <f>'PVC YR 1'!$M$25+'PVC YR 1'!$M$52</f>
        <v>0</v>
      </c>
      <c r="F17" s="476">
        <f>'PVC YR 2'!$M$25+SUM('PVC YR 2'!$M$43:$M$44)/7+'PVC YR 2'!$M$52</f>
        <v>33054.773520000002</v>
      </c>
      <c r="G17" s="476">
        <f>'PVC YR 3'!$M$25+SUM('PVC YR 3'!$M$43:$M$44)/7+'PVC YR 3'!$M$52</f>
        <v>33054.773520000002</v>
      </c>
      <c r="H17" s="474" t="s">
        <v>341</v>
      </c>
      <c r="J17" s="500"/>
      <c r="K17"/>
      <c r="L17"/>
      <c r="M17"/>
      <c r="N17"/>
      <c r="O17"/>
      <c r="P17"/>
      <c r="Q17"/>
    </row>
    <row r="18" spans="2:17">
      <c r="B18" s="474" t="s">
        <v>321</v>
      </c>
      <c r="C18" s="475">
        <f>SUM('PVC YR 1'!$M$16:$N$16)/7+'PVC YR 1'!$M$21+SUM('PVC YR 1'!$M$39:$M$44)/7</f>
        <v>28930.542514285713</v>
      </c>
      <c r="D18" s="511" t="s">
        <v>336</v>
      </c>
      <c r="E18" s="475">
        <f>'PVC YR 1'!$M$27+'PVC YR 1'!$M$28+'PVC YR 1'!$M$54</f>
        <v>17947.660500000002</v>
      </c>
      <c r="F18" s="476">
        <f>'PVC YR 2'!$M$27+'PVC YR 2'!$M$28+SUM('PVC YR 2'!$M$43:$M$44)/7+'PVC YR 2'!$M$54</f>
        <v>55614.438899999994</v>
      </c>
      <c r="G18" s="476">
        <f>'PVC YR 3'!$M$27+'PVC YR 3'!$M$28+SUM('PVC YR 3'!$M$43:$M$44)/7+'PVC YR 3'!$M$54</f>
        <v>55614.438899999994</v>
      </c>
      <c r="H18" s="474" t="s">
        <v>341</v>
      </c>
      <c r="K18"/>
      <c r="L18"/>
      <c r="M18"/>
      <c r="N18"/>
      <c r="O18"/>
      <c r="P18"/>
      <c r="Q18"/>
    </row>
    <row r="19" spans="2:17">
      <c r="B19" s="474" t="s">
        <v>320</v>
      </c>
      <c r="C19" s="475">
        <f>SUM('PVC YR 1'!$M$16:$N$16)/7+'PVC YR 1'!$M$23+SUM('PVC YR 1'!$M$39:$M$44)/7</f>
        <v>19358.456914285714</v>
      </c>
      <c r="D19" s="476" t="s">
        <v>336</v>
      </c>
      <c r="E19" s="475">
        <f>'PVC YR 1'!$M$30+'PVC YR 1'!$M$35+'PVC YR 1'!$M$56</f>
        <v>19361.7186</v>
      </c>
      <c r="F19" s="476">
        <f>'PVC YR 2'!$M$30+'PVC YR 2'!$M$35+SUM('PVC YR 2'!$M$43:$M$44)/7+'PVC YR 2'!$M$56</f>
        <v>67144.451100000006</v>
      </c>
      <c r="G19" s="476">
        <f>'PVC YR 3'!$M$30+'PVC YR 3'!$M$35+SUM('PVC YR 3'!$M$43:$M$44)/7+'PVC YR 3'!$M$56</f>
        <v>67144.451100000006</v>
      </c>
      <c r="H19" s="474" t="s">
        <v>342</v>
      </c>
      <c r="K19"/>
      <c r="L19"/>
      <c r="M19"/>
      <c r="N19"/>
      <c r="O19"/>
      <c r="P19"/>
      <c r="Q19"/>
    </row>
    <row r="20" spans="2:17">
      <c r="B20" s="474" t="s">
        <v>319</v>
      </c>
      <c r="C20" s="475">
        <f>SUM('PVC YR 1'!$M$16:$N$16)/7+SUM('PVC YR 1'!$M$39:$M$44)/7</f>
        <v>16530.340714285714</v>
      </c>
      <c r="D20" s="476" t="s">
        <v>107</v>
      </c>
      <c r="E20" s="475">
        <f>'PVC YR 1'!$M$55</f>
        <v>0</v>
      </c>
      <c r="F20" s="476">
        <f>SUM('PVC YR 2'!$M$43:$M$44)/7+'PVC YR 2'!$M$55</f>
        <v>23308.65</v>
      </c>
      <c r="G20" s="476">
        <f>SUM('PVC YR 3'!$M$43:$M$44)/7+'PVC YR 3'!$M$55</f>
        <v>23308.65</v>
      </c>
      <c r="H20" s="474" t="s">
        <v>341</v>
      </c>
      <c r="K20"/>
      <c r="L20"/>
      <c r="M20"/>
      <c r="N20"/>
      <c r="O20"/>
      <c r="P20"/>
      <c r="Q20"/>
    </row>
    <row r="21" spans="2:17">
      <c r="B21" s="474" t="s">
        <v>318</v>
      </c>
      <c r="C21" s="475">
        <f>SUM('PVC YR 1'!$M$16:$N$16)/7+'PVC YR 1'!$M$22+SUM('PVC YR 1'!$M$39:$M$44)/7</f>
        <v>16530.340714285714</v>
      </c>
      <c r="D21" s="476" t="s">
        <v>336</v>
      </c>
      <c r="E21" s="475">
        <f>'PVC YR 1'!$M$29+'PVC YR 1'!$M$57</f>
        <v>30021.5412</v>
      </c>
      <c r="F21" s="476">
        <f>'PVC YR 2'!$M$29+SUM('PVC YR 2'!$M$43:$M$44)/7+'PVC YR 2'!$M$57</f>
        <v>53330.191200000001</v>
      </c>
      <c r="G21" s="476">
        <f>'PVC YR 3'!$M$29+SUM('PVC YR 3'!$M$43:$M$44)/7+'PVC YR 3'!$M$57</f>
        <v>53330.191200000001</v>
      </c>
      <c r="H21" s="474" t="s">
        <v>341</v>
      </c>
      <c r="I21" s="500"/>
      <c r="J21" s="502"/>
      <c r="K21" s="503"/>
      <c r="L21"/>
      <c r="M21"/>
      <c r="N21"/>
      <c r="O21"/>
      <c r="P21"/>
      <c r="Q21"/>
    </row>
    <row r="22" spans="2:17">
      <c r="B22" s="474" t="s">
        <v>317</v>
      </c>
      <c r="C22" s="475">
        <f>SUM('PVC YR 1'!$M$16:$N$16)/7+SUM('PVC YR 1'!$M$39:$M$44)/7</f>
        <v>16530.340714285714</v>
      </c>
      <c r="D22" s="476" t="s">
        <v>107</v>
      </c>
      <c r="E22" s="475">
        <f>'PVC YR 1'!$M$58</f>
        <v>0</v>
      </c>
      <c r="F22" s="476">
        <f>SUM('PVC YR 2'!$M$43:$M$44)/7+'PVC YR 2'!$M$58</f>
        <v>23308.65</v>
      </c>
      <c r="G22" s="476">
        <f>SUM('PVC YR 3'!$M$43:$M$44)/7+'PVC YR 3'!$M$58</f>
        <v>23308.65</v>
      </c>
      <c r="H22" s="474" t="s">
        <v>341</v>
      </c>
      <c r="K22"/>
      <c r="L22"/>
      <c r="M22"/>
      <c r="N22"/>
      <c r="O22"/>
      <c r="P22"/>
      <c r="Q22"/>
    </row>
    <row r="23" spans="2:17">
      <c r="B23" s="477" t="s">
        <v>41</v>
      </c>
      <c r="C23" s="478">
        <f>SUM(C16:C22)</f>
        <v>188917.08509999997</v>
      </c>
      <c r="D23" s="479"/>
      <c r="E23" s="479">
        <f>SUM(E16:E22)</f>
        <v>88868.112900000007</v>
      </c>
      <c r="F23" s="479">
        <f>SUM(F16:F22)</f>
        <v>310722.95142000006</v>
      </c>
      <c r="G23" s="479">
        <f>SUM(G16:G22)</f>
        <v>310722.95142000006</v>
      </c>
      <c r="H23" s="474"/>
      <c r="K23"/>
      <c r="L23"/>
      <c r="M23"/>
      <c r="N23"/>
      <c r="O23"/>
      <c r="P23"/>
      <c r="Q23"/>
    </row>
    <row r="24" spans="2:17">
      <c r="B24" s="506" t="s">
        <v>56</v>
      </c>
      <c r="C24" s="472" t="s">
        <v>331</v>
      </c>
      <c r="K24"/>
      <c r="L24"/>
      <c r="M24"/>
      <c r="N24"/>
      <c r="O24"/>
      <c r="P24"/>
      <c r="Q24"/>
    </row>
    <row r="25" spans="2:17">
      <c r="B25" s="506" t="s">
        <v>57</v>
      </c>
      <c r="C25" s="471" t="s">
        <v>332</v>
      </c>
      <c r="K25"/>
      <c r="L25"/>
      <c r="M25"/>
      <c r="N25"/>
      <c r="O25"/>
      <c r="P25"/>
      <c r="Q25"/>
    </row>
    <row r="26" spans="2:17">
      <c r="B26" s="506" t="s">
        <v>19</v>
      </c>
      <c r="C26" s="471" t="s">
        <v>333</v>
      </c>
      <c r="K26"/>
      <c r="L26"/>
      <c r="M26"/>
      <c r="N26"/>
      <c r="O26"/>
      <c r="P26"/>
      <c r="Q26"/>
    </row>
    <row r="27" spans="2:17">
      <c r="B27" s="506" t="s">
        <v>53</v>
      </c>
      <c r="C27" s="471" t="s">
        <v>334</v>
      </c>
      <c r="K27"/>
      <c r="L27"/>
      <c r="M27"/>
      <c r="N27"/>
      <c r="O27"/>
      <c r="P27"/>
      <c r="Q27"/>
    </row>
    <row r="28" spans="2:17">
      <c r="B28" s="506" t="s">
        <v>51</v>
      </c>
      <c r="C28" s="471" t="s">
        <v>338</v>
      </c>
      <c r="K28"/>
      <c r="L28"/>
      <c r="M28"/>
      <c r="N28"/>
      <c r="O28"/>
      <c r="P28"/>
      <c r="Q28"/>
    </row>
    <row r="29" spans="2:17">
      <c r="B29" s="506" t="s">
        <v>32</v>
      </c>
      <c r="C29" s="471" t="s">
        <v>343</v>
      </c>
      <c r="K29"/>
      <c r="L29"/>
      <c r="M29"/>
      <c r="N29"/>
      <c r="O29"/>
      <c r="P29"/>
      <c r="Q29"/>
    </row>
    <row r="30" spans="2:17">
      <c r="B30" s="506" t="s">
        <v>228</v>
      </c>
      <c r="C30" s="471" t="s">
        <v>339</v>
      </c>
      <c r="K30"/>
      <c r="L30"/>
      <c r="M30"/>
      <c r="N30"/>
      <c r="O30"/>
      <c r="P30"/>
      <c r="Q30"/>
    </row>
    <row r="31" spans="2:17">
      <c r="B31" s="506" t="s">
        <v>300</v>
      </c>
      <c r="C31" s="471" t="s">
        <v>340</v>
      </c>
      <c r="M31"/>
      <c r="N31"/>
      <c r="O31"/>
      <c r="P31"/>
      <c r="Q31"/>
    </row>
    <row r="34" spans="1:8">
      <c r="B34" s="480" t="s">
        <v>404</v>
      </c>
      <c r="C34" s="500"/>
      <c r="D34" s="472"/>
    </row>
    <row r="35" spans="1:8">
      <c r="A35" s="501"/>
      <c r="B35" s="474" t="s">
        <v>320</v>
      </c>
      <c r="C35" s="475">
        <f>(SUM('PVC YR 1'!$M$16:$N$16)/7)/15+'PVC YR 1'!$M$23/13+(SUM('PVC YR 1'!$M$39:$M$44)/7)/15</f>
        <v>1319.5701142857142</v>
      </c>
      <c r="D35" s="475">
        <f>'PVC YR 1'!$M$30/13+'PVC YR 1'!$M$35/15+'PVC YR 1'!$M$56/15</f>
        <v>1305.2844</v>
      </c>
      <c r="E35" s="476">
        <f>'PVC YR 2'!$M$30/13+'PVC YR 2'!$M$35/15+(SUM('PVC YR 2'!$M$43:$M$44)/7)/15+'PVC YR 2'!$M$56/15</f>
        <v>4490.7999</v>
      </c>
      <c r="F35" s="476">
        <f>'PVC YR 3'!$M$30/13+'PVC YR 3'!$M$35/15+(SUM('PVC YR 3'!$M$43:$M$44)/7)/15+'PVC YR 3'!$M$56/15</f>
        <v>4490.7999</v>
      </c>
      <c r="G35" s="501" t="s">
        <v>402</v>
      </c>
      <c r="H35"/>
    </row>
    <row r="36" spans="1:8">
      <c r="A36" s="501"/>
      <c r="B36" s="474" t="s">
        <v>320</v>
      </c>
      <c r="C36" s="475">
        <f>(SUM('PVC YR 1'!$M$16:$N$16)/7)/15+(SUM('PVC YR 1'!$M$39:$M$44)/7)/15</f>
        <v>1102.0227142857143</v>
      </c>
      <c r="D36" s="475">
        <f>'PVC YR 1'!$M$35/15+'PVC YR 1'!$M$56/15</f>
        <v>1196.5107</v>
      </c>
      <c r="E36" s="476">
        <f>'PVC YR 2'!$M$35/15+(SUM('PVC YR 2'!$M$43:$M$44)/7)/15+'PVC YR 2'!$M$56/15</f>
        <v>4382.0262000000002</v>
      </c>
      <c r="F36" s="476">
        <f>'PVC YR 3'!$M$35/15+(SUM('PVC YR 3'!$M$43:$M$44)/7)/15+'PVC YR 3'!$M$56/15</f>
        <v>4382.0262000000002</v>
      </c>
      <c r="G36" s="504" t="s">
        <v>405</v>
      </c>
      <c r="H36"/>
    </row>
    <row r="37" spans="1:8">
      <c r="A37" s="501"/>
      <c r="B37" s="505" t="s">
        <v>320</v>
      </c>
      <c r="C37" s="475">
        <f>C35-C36</f>
        <v>217.54739999999993</v>
      </c>
      <c r="D37" s="475">
        <f>D35-D36</f>
        <v>108.77369999999996</v>
      </c>
      <c r="E37" s="475">
        <f>E35-E36</f>
        <v>108.77369999999974</v>
      </c>
      <c r="F37" s="475">
        <f>F35-F36</f>
        <v>108.77369999999974</v>
      </c>
      <c r="G37" s="504" t="s">
        <v>403</v>
      </c>
      <c r="H37"/>
    </row>
    <row r="38" spans="1:8">
      <c r="C38"/>
      <c r="D38"/>
      <c r="E38"/>
      <c r="F38"/>
      <c r="G38"/>
    </row>
    <row r="39" spans="1:8">
      <c r="C39"/>
      <c r="D39"/>
      <c r="E39"/>
      <c r="F39"/>
      <c r="G39"/>
    </row>
    <row r="40" spans="1:8">
      <c r="C40"/>
      <c r="D40"/>
      <c r="E40"/>
      <c r="F40"/>
      <c r="G40"/>
    </row>
    <row r="41" spans="1:8">
      <c r="C41"/>
      <c r="D41"/>
      <c r="E41"/>
      <c r="F41"/>
      <c r="G41"/>
    </row>
    <row r="42" spans="1:8">
      <c r="C42"/>
      <c r="D42"/>
      <c r="E42"/>
      <c r="F42"/>
      <c r="G42"/>
    </row>
    <row r="43" spans="1:8">
      <c r="C43"/>
      <c r="D43"/>
      <c r="E43"/>
      <c r="F43"/>
      <c r="G43"/>
    </row>
  </sheetData>
  <mergeCells count="6">
    <mergeCell ref="B13:H13"/>
    <mergeCell ref="C14:C15"/>
    <mergeCell ref="E14:G14"/>
    <mergeCell ref="D14:D15"/>
    <mergeCell ref="H14:H15"/>
    <mergeCell ref="B14:B15"/>
  </mergeCells>
  <pageMargins left="0.7" right="0.7" top="0.75" bottom="0.75" header="0.3" footer="0.3"/>
  <pageSetup scale="59" orientation="portrait" r:id="rId1"/>
</worksheet>
</file>

<file path=xl/worksheets/sheet12.xml><?xml version="1.0" encoding="utf-8"?>
<worksheet xmlns="http://schemas.openxmlformats.org/spreadsheetml/2006/main" xmlns:r="http://schemas.openxmlformats.org/officeDocument/2006/relationships">
  <sheetPr codeName="Sheet4">
    <tabColor rgb="FFFF0000"/>
  </sheetPr>
  <dimension ref="A1:H61"/>
  <sheetViews>
    <sheetView topLeftCell="A16" zoomScaleNormal="100" workbookViewId="0">
      <selection activeCell="J29" sqref="J29"/>
    </sheetView>
  </sheetViews>
  <sheetFormatPr defaultColWidth="10.6640625" defaultRowHeight="12.75"/>
  <cols>
    <col min="1" max="1" width="3.1640625" style="228" customWidth="1"/>
    <col min="2" max="2" width="60.1640625" style="228" bestFit="1" customWidth="1"/>
    <col min="3" max="3" width="39.83203125" style="228" customWidth="1"/>
    <col min="4" max="4" width="14.1640625" style="228" customWidth="1"/>
    <col min="5" max="5" width="15.6640625" style="228" customWidth="1"/>
    <col min="6" max="6" width="26.5" style="228" customWidth="1"/>
    <col min="7" max="7" width="39.5" style="228" bestFit="1" customWidth="1"/>
    <col min="8" max="8" width="16.83203125" style="228" bestFit="1" customWidth="1"/>
    <col min="9" max="9" width="13" style="182" bestFit="1" customWidth="1"/>
    <col min="10" max="10" width="11.83203125" style="182" bestFit="1" customWidth="1"/>
    <col min="11" max="16384" width="10.6640625" style="182"/>
  </cols>
  <sheetData>
    <row r="1" spans="1:8" ht="21">
      <c r="A1" s="487" t="s">
        <v>187</v>
      </c>
      <c r="B1" s="486"/>
    </row>
    <row r="2" spans="1:8">
      <c r="A2" s="230" t="s">
        <v>69</v>
      </c>
      <c r="B2" s="230"/>
      <c r="C2" s="231" t="s">
        <v>70</v>
      </c>
      <c r="D2" s="231" t="s">
        <v>74</v>
      </c>
      <c r="E2" s="231" t="s">
        <v>188</v>
      </c>
      <c r="F2" s="231" t="s">
        <v>189</v>
      </c>
      <c r="G2" s="231" t="s">
        <v>190</v>
      </c>
      <c r="H2" s="231" t="s">
        <v>191</v>
      </c>
    </row>
    <row r="3" spans="1:8">
      <c r="A3" s="232"/>
      <c r="B3" s="232"/>
      <c r="C3" s="232"/>
      <c r="D3" s="233"/>
      <c r="E3" s="234"/>
      <c r="F3" s="234"/>
      <c r="G3" s="234"/>
      <c r="H3" s="234"/>
    </row>
    <row r="4" spans="1:8">
      <c r="A4" s="235" t="s">
        <v>71</v>
      </c>
      <c r="B4" s="232"/>
      <c r="C4" s="232"/>
      <c r="D4" s="233"/>
      <c r="E4" s="234"/>
      <c r="F4" s="234"/>
      <c r="G4" s="234"/>
      <c r="H4" s="234"/>
    </row>
    <row r="5" spans="1:8">
      <c r="A5" s="236"/>
      <c r="B5" s="236" t="s">
        <v>136</v>
      </c>
      <c r="C5" s="232"/>
      <c r="D5" s="233"/>
      <c r="E5" s="234"/>
      <c r="F5" s="234"/>
      <c r="G5" s="234"/>
      <c r="H5" s="234"/>
    </row>
    <row r="6" spans="1:8">
      <c r="A6" s="236"/>
      <c r="B6" s="237" t="s">
        <v>137</v>
      </c>
      <c r="C6" s="237"/>
      <c r="D6" s="237">
        <v>539.1</v>
      </c>
      <c r="E6" s="234"/>
      <c r="F6" s="234"/>
      <c r="G6" s="234"/>
      <c r="H6" s="234"/>
    </row>
    <row r="7" spans="1:8">
      <c r="A7" s="236"/>
      <c r="B7" s="238" t="s">
        <v>138</v>
      </c>
      <c r="C7" s="237"/>
      <c r="D7" s="237">
        <v>521.9</v>
      </c>
      <c r="E7" s="234"/>
      <c r="F7" s="234"/>
      <c r="G7" s="234"/>
      <c r="H7" s="234"/>
    </row>
    <row r="8" spans="1:8">
      <c r="A8" s="232"/>
      <c r="B8" s="237" t="s">
        <v>139</v>
      </c>
      <c r="C8" s="237"/>
      <c r="D8" s="237">
        <v>358.2</v>
      </c>
      <c r="E8" s="234"/>
      <c r="F8" s="234"/>
      <c r="G8" s="234"/>
      <c r="H8" s="234"/>
    </row>
    <row r="9" spans="1:8">
      <c r="A9" s="232"/>
      <c r="B9" s="232"/>
      <c r="C9" s="232"/>
      <c r="D9" s="233"/>
      <c r="E9" s="234"/>
      <c r="F9" s="234"/>
      <c r="G9" s="234"/>
      <c r="H9" s="234"/>
    </row>
    <row r="10" spans="1:8">
      <c r="A10" s="236" t="s">
        <v>75</v>
      </c>
      <c r="B10" s="236"/>
      <c r="C10" s="236"/>
      <c r="D10" s="236"/>
      <c r="E10" s="234"/>
      <c r="F10" s="234"/>
      <c r="G10" s="234"/>
      <c r="H10" s="234"/>
    </row>
    <row r="11" spans="1:8">
      <c r="A11" s="236"/>
      <c r="B11" s="236" t="s">
        <v>140</v>
      </c>
      <c r="C11" s="236" t="s">
        <v>141</v>
      </c>
      <c r="D11" s="239">
        <v>0</v>
      </c>
      <c r="E11" s="234">
        <v>1</v>
      </c>
      <c r="F11" s="240">
        <f>D11/E11</f>
        <v>0</v>
      </c>
      <c r="G11" s="241">
        <f>D11*$D$18</f>
        <v>0</v>
      </c>
      <c r="H11" s="241">
        <f>F11+G11</f>
        <v>0</v>
      </c>
    </row>
    <row r="12" spans="1:8">
      <c r="A12" s="236"/>
      <c r="B12" s="236" t="s">
        <v>142</v>
      </c>
      <c r="C12" s="242" t="s">
        <v>143</v>
      </c>
      <c r="D12" s="243">
        <f>ROUND(5000*D6/D8,-3)</f>
        <v>8000</v>
      </c>
      <c r="E12" s="234">
        <v>1</v>
      </c>
      <c r="F12" s="244"/>
      <c r="G12" s="245">
        <f>D12*$D$18</f>
        <v>755.14340594604562</v>
      </c>
      <c r="H12" s="245">
        <f>F12+G12</f>
        <v>755.14340594604562</v>
      </c>
    </row>
    <row r="13" spans="1:8">
      <c r="A13" s="236"/>
      <c r="B13" s="236" t="s">
        <v>144</v>
      </c>
      <c r="C13" s="242" t="s">
        <v>145</v>
      </c>
      <c r="D13" s="243">
        <f>ROUND(21000*D6/D8,-3)-5000</f>
        <v>27000</v>
      </c>
      <c r="E13" s="234">
        <v>1</v>
      </c>
      <c r="F13" s="244">
        <f>D13/E13</f>
        <v>27000</v>
      </c>
      <c r="G13" s="245">
        <f>D13*$D$18</f>
        <v>2548.6089950679038</v>
      </c>
      <c r="H13" s="245">
        <f>F13+G13</f>
        <v>29548.608995067905</v>
      </c>
    </row>
    <row r="14" spans="1:8">
      <c r="A14" s="236"/>
      <c r="B14" s="236" t="s">
        <v>192</v>
      </c>
      <c r="C14" s="246" t="s">
        <v>193</v>
      </c>
      <c r="D14" s="243">
        <f>6000*D6/D7</f>
        <v>6197.7390304656064</v>
      </c>
      <c r="E14" s="234">
        <v>1</v>
      </c>
      <c r="F14" s="244">
        <f>D14/E14</f>
        <v>6197.7390304656064</v>
      </c>
      <c r="G14" s="245">
        <f>D14*$D$18</f>
        <v>585.02272007881754</v>
      </c>
      <c r="H14" s="245">
        <f>F14+G14</f>
        <v>6782.7617505444241</v>
      </c>
    </row>
    <row r="15" spans="1:8">
      <c r="A15" s="236"/>
      <c r="B15" s="235" t="s">
        <v>247</v>
      </c>
      <c r="C15" s="242"/>
      <c r="D15" s="243">
        <v>10000</v>
      </c>
      <c r="E15" s="234">
        <v>1</v>
      </c>
      <c r="F15" s="244">
        <f>D15/E15</f>
        <v>10000</v>
      </c>
      <c r="G15" s="245">
        <f>D15*$D$18</f>
        <v>943.92925743255694</v>
      </c>
      <c r="H15" s="245">
        <f>F15+G15</f>
        <v>10943.929257432557</v>
      </c>
    </row>
    <row r="16" spans="1:8" s="398" customFormat="1">
      <c r="A16" s="235"/>
      <c r="B16" s="399"/>
      <c r="C16" s="394"/>
      <c r="D16" s="394"/>
      <c r="E16" s="395"/>
      <c r="F16" s="396"/>
      <c r="G16" s="397"/>
      <c r="H16" s="397"/>
    </row>
    <row r="17" spans="1:8">
      <c r="A17" s="234"/>
      <c r="B17" s="236"/>
      <c r="C17" s="236"/>
      <c r="D17" s="236"/>
      <c r="E17" s="234"/>
      <c r="F17" s="234"/>
      <c r="G17" s="234"/>
      <c r="H17" s="234"/>
    </row>
    <row r="18" spans="1:8">
      <c r="A18" s="236" t="s">
        <v>194</v>
      </c>
      <c r="B18" s="236" t="s">
        <v>146</v>
      </c>
      <c r="C18" s="236" t="s">
        <v>147</v>
      </c>
      <c r="D18" s="247">
        <f>(0.07*(1+0.07)^20)/((1+0.07)^20-1)</f>
        <v>9.4392925743255696E-2</v>
      </c>
      <c r="E18" s="234"/>
      <c r="F18" s="234"/>
      <c r="G18" s="234"/>
      <c r="H18" s="234"/>
    </row>
    <row r="19" spans="1:8">
      <c r="A19" s="236"/>
      <c r="B19" s="232"/>
      <c r="C19" s="236"/>
      <c r="D19" s="248"/>
      <c r="E19" s="234"/>
      <c r="F19" s="234"/>
      <c r="G19" s="234"/>
      <c r="H19" s="234"/>
    </row>
    <row r="20" spans="1:8">
      <c r="A20" s="236" t="s">
        <v>195</v>
      </c>
      <c r="B20" s="232"/>
      <c r="C20" s="236"/>
      <c r="D20" s="248"/>
      <c r="E20" s="234"/>
      <c r="F20" s="234"/>
      <c r="G20" s="234"/>
      <c r="H20" s="234"/>
    </row>
    <row r="21" spans="1:8">
      <c r="A21" s="236"/>
      <c r="B21" s="236" t="s">
        <v>196</v>
      </c>
      <c r="C21" s="236"/>
      <c r="D21" s="248"/>
      <c r="E21" s="234"/>
      <c r="F21" s="234"/>
      <c r="G21" s="234"/>
      <c r="H21" s="249">
        <f>SUM(H11:H12,H14:H16)</f>
        <v>18481.834413923025</v>
      </c>
    </row>
    <row r="22" spans="1:8">
      <c r="A22" s="236"/>
      <c r="B22" s="236" t="s">
        <v>197</v>
      </c>
      <c r="C22" s="236"/>
      <c r="D22" s="248"/>
      <c r="E22" s="234"/>
      <c r="F22" s="234"/>
      <c r="G22" s="234"/>
      <c r="H22" s="249">
        <f>H13</f>
        <v>29548.608995067905</v>
      </c>
    </row>
    <row r="23" spans="1:8">
      <c r="A23" s="236"/>
      <c r="B23" s="232" t="s">
        <v>198</v>
      </c>
      <c r="C23" s="236"/>
      <c r="D23" s="439">
        <f>SUM(D12:D15)</f>
        <v>51197.739030465607</v>
      </c>
      <c r="E23" s="234"/>
      <c r="F23" s="234"/>
      <c r="G23" s="234"/>
      <c r="H23" s="257">
        <f>ROUND(SUM(H21:H22),0)</f>
        <v>48030</v>
      </c>
    </row>
    <row r="24" spans="1:8">
      <c r="A24" s="250" t="s">
        <v>199</v>
      </c>
      <c r="B24" s="250"/>
      <c r="C24" s="250"/>
      <c r="D24" s="250"/>
      <c r="F24" s="251"/>
    </row>
    <row r="25" spans="1:8">
      <c r="A25" s="250"/>
      <c r="B25" s="250"/>
      <c r="C25" s="250"/>
      <c r="D25" s="250"/>
      <c r="F25" s="251"/>
    </row>
    <row r="26" spans="1:8">
      <c r="A26" s="250"/>
      <c r="B26" s="250"/>
      <c r="C26" s="250"/>
      <c r="D26" s="250"/>
      <c r="F26" s="251"/>
    </row>
    <row r="27" spans="1:8">
      <c r="A27" s="252" t="s">
        <v>76</v>
      </c>
      <c r="B27" s="253"/>
      <c r="C27" s="253"/>
    </row>
    <row r="28" spans="1:8">
      <c r="A28" s="546" t="s">
        <v>148</v>
      </c>
      <c r="B28" s="546"/>
      <c r="C28" s="546"/>
      <c r="D28" s="546"/>
    </row>
    <row r="29" spans="1:8">
      <c r="A29" s="546" t="s">
        <v>149</v>
      </c>
      <c r="B29" s="546"/>
      <c r="C29" s="546"/>
      <c r="D29" s="546"/>
    </row>
    <row r="30" spans="1:8" s="228" customFormat="1">
      <c r="A30" s="547" t="s">
        <v>73</v>
      </c>
      <c r="B30" s="547"/>
      <c r="C30" s="547"/>
      <c r="D30" s="547"/>
      <c r="E30" s="254"/>
      <c r="F30" s="254"/>
      <c r="G30" s="254"/>
      <c r="H30" s="254"/>
    </row>
    <row r="31" spans="1:8" s="228" customFormat="1" ht="11.25">
      <c r="A31" s="546" t="s">
        <v>150</v>
      </c>
      <c r="B31" s="546"/>
      <c r="C31" s="546"/>
      <c r="D31" s="546"/>
      <c r="E31" s="255"/>
    </row>
    <row r="32" spans="1:8" s="228" customFormat="1" ht="11.25">
      <c r="A32" s="546" t="s">
        <v>151</v>
      </c>
      <c r="B32" s="546"/>
      <c r="C32" s="546"/>
      <c r="D32" s="546"/>
    </row>
    <row r="33" spans="1:4" s="228" customFormat="1" ht="11.25">
      <c r="A33" s="546" t="s">
        <v>152</v>
      </c>
      <c r="B33" s="546"/>
      <c r="C33" s="546"/>
      <c r="D33" s="546"/>
    </row>
    <row r="34" spans="1:4" s="228" customFormat="1" ht="11.25">
      <c r="A34" s="546" t="s">
        <v>153</v>
      </c>
      <c r="B34" s="546"/>
      <c r="C34" s="546"/>
      <c r="D34" s="546"/>
    </row>
    <row r="35" spans="1:4" s="228" customFormat="1" ht="11.25">
      <c r="A35" s="546"/>
      <c r="B35" s="546"/>
      <c r="C35" s="546"/>
      <c r="D35" s="546"/>
    </row>
    <row r="36" spans="1:4" s="228" customFormat="1" ht="10.5">
      <c r="A36" s="256"/>
      <c r="D36" s="255"/>
    </row>
    <row r="37" spans="1:4" s="228" customFormat="1" ht="10.5">
      <c r="A37" s="256"/>
      <c r="D37" s="255"/>
    </row>
    <row r="38" spans="1:4" s="228" customFormat="1" ht="10.5">
      <c r="A38" s="256"/>
      <c r="D38" s="255"/>
    </row>
    <row r="39" spans="1:4" s="228" customFormat="1" ht="10.5">
      <c r="A39" s="256"/>
      <c r="D39" s="255"/>
    </row>
    <row r="40" spans="1:4" s="228" customFormat="1" ht="10.5">
      <c r="A40" s="256"/>
      <c r="D40" s="255"/>
    </row>
    <row r="41" spans="1:4" s="228" customFormat="1" ht="10.5">
      <c r="A41" s="256"/>
      <c r="D41" s="255"/>
    </row>
    <row r="42" spans="1:4" s="228" customFormat="1" ht="10.5">
      <c r="A42" s="256"/>
      <c r="D42" s="255"/>
    </row>
    <row r="43" spans="1:4" s="228" customFormat="1" ht="10.5">
      <c r="A43" s="256"/>
      <c r="D43" s="255"/>
    </row>
    <row r="44" spans="1:4" s="228" customFormat="1" ht="10.5">
      <c r="A44" s="256"/>
      <c r="D44" s="255"/>
    </row>
    <row r="45" spans="1:4" s="228" customFormat="1" ht="10.5">
      <c r="A45" s="256"/>
      <c r="D45" s="255"/>
    </row>
    <row r="46" spans="1:4" s="228" customFormat="1" ht="10.5">
      <c r="A46" s="256"/>
      <c r="D46" s="255"/>
    </row>
    <row r="47" spans="1:4" s="228" customFormat="1" ht="10.5">
      <c r="A47" s="256"/>
      <c r="D47" s="255"/>
    </row>
    <row r="48" spans="1:4" s="228" customFormat="1" ht="10.5">
      <c r="A48" s="256"/>
      <c r="D48" s="255"/>
    </row>
    <row r="49" spans="1:8" s="228" customFormat="1" ht="10.5">
      <c r="A49" s="256"/>
      <c r="D49" s="255"/>
    </row>
    <row r="50" spans="1:8" s="228" customFormat="1" ht="10.5">
      <c r="A50" s="256"/>
      <c r="D50" s="255"/>
    </row>
    <row r="51" spans="1:8" s="228" customFormat="1" ht="10.5">
      <c r="A51" s="256"/>
      <c r="D51" s="255"/>
    </row>
    <row r="52" spans="1:8" s="228" customFormat="1" ht="10.5">
      <c r="A52" s="256"/>
      <c r="D52" s="255"/>
    </row>
    <row r="53" spans="1:8" s="228" customFormat="1" ht="10.5">
      <c r="A53" s="256"/>
      <c r="D53" s="255"/>
    </row>
    <row r="54" spans="1:8" s="228" customFormat="1" ht="10.5">
      <c r="A54" s="256"/>
      <c r="D54" s="255"/>
    </row>
    <row r="55" spans="1:8" s="228" customFormat="1" ht="11.25" customHeight="1">
      <c r="A55" s="256"/>
      <c r="D55" s="255"/>
    </row>
    <row r="56" spans="1:8" s="228" customFormat="1" ht="22.5" customHeight="1">
      <c r="A56" s="256"/>
      <c r="D56" s="255"/>
    </row>
    <row r="57" spans="1:8" s="254" customFormat="1" ht="12.75" customHeight="1">
      <c r="A57" s="256"/>
      <c r="B57" s="228"/>
      <c r="C57" s="228"/>
      <c r="D57" s="255"/>
      <c r="E57" s="228"/>
      <c r="F57" s="228"/>
      <c r="G57" s="228"/>
      <c r="H57" s="228"/>
    </row>
    <row r="58" spans="1:8" s="228" customFormat="1" ht="22.5" customHeight="1">
      <c r="A58" s="256"/>
      <c r="D58" s="255"/>
    </row>
    <row r="59" spans="1:8" s="228" customFormat="1" ht="22.5" customHeight="1">
      <c r="A59" s="256"/>
      <c r="D59" s="255"/>
    </row>
    <row r="60" spans="1:8" s="228" customFormat="1" ht="22.5" customHeight="1">
      <c r="A60" s="256"/>
      <c r="D60" s="255"/>
    </row>
    <row r="61" spans="1:8" s="228" customFormat="1" ht="11.25" customHeight="1">
      <c r="A61" s="256"/>
      <c r="D61" s="255"/>
    </row>
  </sheetData>
  <mergeCells count="8">
    <mergeCell ref="A33:D33"/>
    <mergeCell ref="A34:D34"/>
    <mergeCell ref="A35:D35"/>
    <mergeCell ref="A28:D28"/>
    <mergeCell ref="A29:D29"/>
    <mergeCell ref="A30:D30"/>
    <mergeCell ref="A31:D31"/>
    <mergeCell ref="A32:D32"/>
  </mergeCells>
  <phoneticPr fontId="8" type="noConversion"/>
  <printOptions horizontalCentered="1"/>
  <pageMargins left="0.75" right="0.5" top="1" bottom="0.75" header="0.5" footer="0.5"/>
  <pageSetup scale="70" orientation="portrait" r:id="rId1"/>
  <headerFooter alignWithMargins="0">
    <oddHeader>&amp;C&amp;"Arial,Bold"Table 6d. Stack Testing Costs</oddHeader>
    <oddFooter>&amp;C&amp;P of &amp;N</oddFooter>
  </headerFooter>
</worksheet>
</file>

<file path=xl/worksheets/sheet13.xml><?xml version="1.0" encoding="utf-8"?>
<worksheet xmlns="http://schemas.openxmlformats.org/spreadsheetml/2006/main" xmlns:r="http://schemas.openxmlformats.org/officeDocument/2006/relationships">
  <sheetPr codeName="Sheet8">
    <tabColor rgb="FFFF0000"/>
  </sheetPr>
  <dimension ref="A1:F50"/>
  <sheetViews>
    <sheetView topLeftCell="A4" workbookViewId="0">
      <selection activeCell="J29" sqref="J29"/>
    </sheetView>
  </sheetViews>
  <sheetFormatPr defaultColWidth="10.6640625" defaultRowHeight="12.75"/>
  <cols>
    <col min="1" max="1" width="39" style="182" customWidth="1"/>
    <col min="2" max="2" width="10.6640625" style="182" customWidth="1"/>
    <col min="3" max="3" width="33.1640625" style="182" customWidth="1"/>
    <col min="4" max="4" width="36.83203125" style="182" bestFit="1" customWidth="1"/>
    <col min="5" max="5" width="12.83203125" style="182" bestFit="1" customWidth="1"/>
    <col min="6" max="6" width="14" style="182" customWidth="1"/>
    <col min="7" max="16384" width="10.6640625" style="182"/>
  </cols>
  <sheetData>
    <row r="1" spans="1:6" ht="20.25">
      <c r="A1" s="488" t="s">
        <v>154</v>
      </c>
      <c r="B1" s="405"/>
      <c r="C1" s="405"/>
      <c r="D1" s="405"/>
      <c r="E1" s="405"/>
      <c r="F1" s="405"/>
    </row>
    <row r="2" spans="1:6">
      <c r="A2" s="405"/>
      <c r="B2" s="405"/>
      <c r="C2" s="405"/>
      <c r="D2" s="405"/>
      <c r="E2" s="404"/>
      <c r="F2" s="405"/>
    </row>
    <row r="3" spans="1:6">
      <c r="A3" s="404"/>
      <c r="B3" s="406" t="s">
        <v>251</v>
      </c>
      <c r="C3" s="406" t="s">
        <v>252</v>
      </c>
      <c r="D3" s="406" t="s">
        <v>87</v>
      </c>
      <c r="E3" s="405"/>
      <c r="F3" s="405"/>
    </row>
    <row r="4" spans="1:6">
      <c r="A4" s="404" t="s">
        <v>253</v>
      </c>
      <c r="B4" s="407">
        <v>201</v>
      </c>
      <c r="C4" s="407">
        <v>400</v>
      </c>
      <c r="D4" s="407">
        <f>AVERAGE(B4:C4)</f>
        <v>300.5</v>
      </c>
      <c r="E4" s="405"/>
      <c r="F4" s="405"/>
    </row>
    <row r="5" spans="1:6">
      <c r="A5" s="405"/>
      <c r="B5" s="405"/>
      <c r="C5" s="405"/>
      <c r="D5" s="405"/>
      <c r="E5" s="405"/>
      <c r="F5" s="405"/>
    </row>
    <row r="6" spans="1:6">
      <c r="A6" s="404" t="s">
        <v>155</v>
      </c>
      <c r="B6" s="405"/>
      <c r="C6" s="405"/>
      <c r="D6" s="405"/>
      <c r="E6" s="405"/>
      <c r="F6" s="405"/>
    </row>
    <row r="7" spans="1:6">
      <c r="A7" s="405"/>
      <c r="B7" s="405"/>
      <c r="C7" s="405"/>
      <c r="D7" s="405"/>
      <c r="E7" s="405"/>
      <c r="F7" s="405"/>
    </row>
    <row r="8" spans="1:6" ht="14.25">
      <c r="A8" s="405">
        <v>3</v>
      </c>
      <c r="B8" s="408" t="s">
        <v>186</v>
      </c>
      <c r="C8" s="405"/>
      <c r="D8" s="405"/>
      <c r="E8" s="409">
        <f>A8*D4*2</f>
        <v>1803</v>
      </c>
      <c r="F8" s="405"/>
    </row>
    <row r="9" spans="1:6">
      <c r="A9" s="405"/>
      <c r="B9" s="405"/>
      <c r="C9" s="405"/>
      <c r="D9" s="405"/>
      <c r="E9" s="405"/>
      <c r="F9" s="405"/>
    </row>
    <row r="10" spans="1:6">
      <c r="A10" s="410" t="s">
        <v>156</v>
      </c>
      <c r="B10" s="411"/>
      <c r="C10" s="411"/>
      <c r="D10" s="411"/>
      <c r="E10" s="412">
        <f>SUM(E8:E8)</f>
        <v>1803</v>
      </c>
      <c r="F10" s="405"/>
    </row>
    <row r="11" spans="1:6">
      <c r="A11" s="405"/>
      <c r="B11" s="405"/>
      <c r="C11" s="405"/>
      <c r="D11" s="405"/>
      <c r="E11" s="405"/>
      <c r="F11" s="405"/>
    </row>
    <row r="12" spans="1:6">
      <c r="A12" s="413" t="s">
        <v>146</v>
      </c>
      <c r="B12" s="414" t="s">
        <v>147</v>
      </c>
      <c r="C12" s="405"/>
      <c r="D12" s="405"/>
      <c r="E12" s="415">
        <f>(0.07*(1+0.07)^20)/((1+0.07)^20-1)</f>
        <v>9.4392925743255696E-2</v>
      </c>
      <c r="F12" s="405"/>
    </row>
    <row r="13" spans="1:6">
      <c r="A13" s="405"/>
      <c r="B13" s="405"/>
      <c r="C13" s="405"/>
      <c r="D13" s="405"/>
      <c r="E13" s="405"/>
      <c r="F13" s="405"/>
    </row>
    <row r="14" spans="1:6">
      <c r="A14" s="411" t="s">
        <v>157</v>
      </c>
      <c r="B14" s="416" t="s">
        <v>254</v>
      </c>
      <c r="C14" s="411"/>
      <c r="D14" s="411"/>
      <c r="E14" s="417">
        <f>E10*E12</f>
        <v>170.19044511509003</v>
      </c>
      <c r="F14" s="405"/>
    </row>
    <row r="15" spans="1:6">
      <c r="A15" s="405"/>
      <c r="B15" s="405"/>
      <c r="C15" s="405"/>
      <c r="D15" s="405"/>
      <c r="E15" s="405"/>
      <c r="F15" s="405"/>
    </row>
    <row r="16" spans="1:6">
      <c r="A16" s="405"/>
      <c r="B16" s="405"/>
      <c r="C16" s="405"/>
      <c r="D16" s="405"/>
      <c r="E16" s="405"/>
      <c r="F16" s="405"/>
    </row>
    <row r="17" spans="1:6">
      <c r="A17" s="404" t="s">
        <v>158</v>
      </c>
      <c r="B17" s="405"/>
      <c r="C17" s="405"/>
      <c r="D17" s="405"/>
      <c r="E17" s="405"/>
      <c r="F17" s="405"/>
    </row>
    <row r="18" spans="1:6">
      <c r="A18" s="405"/>
      <c r="B18" s="405"/>
      <c r="C18" s="405"/>
      <c r="D18" s="405"/>
      <c r="E18" s="405"/>
      <c r="F18" s="405"/>
    </row>
    <row r="19" spans="1:6" ht="14.25">
      <c r="A19" s="405">
        <v>1</v>
      </c>
      <c r="B19" s="408" t="s">
        <v>184</v>
      </c>
      <c r="C19" s="405"/>
      <c r="D19" s="405"/>
      <c r="E19" s="409">
        <f>A19*D4*2</f>
        <v>601</v>
      </c>
      <c r="F19" s="405"/>
    </row>
    <row r="20" spans="1:6">
      <c r="A20" s="405"/>
      <c r="B20" s="405"/>
      <c r="C20" s="405"/>
      <c r="D20" s="405"/>
      <c r="E20" s="405"/>
      <c r="F20" s="405"/>
    </row>
    <row r="21" spans="1:6">
      <c r="A21" s="405"/>
      <c r="B21" s="405"/>
      <c r="C21" s="405"/>
      <c r="D21" s="405"/>
      <c r="E21" s="405"/>
      <c r="F21" s="405"/>
    </row>
    <row r="22" spans="1:6">
      <c r="A22" s="405"/>
      <c r="B22" s="405"/>
      <c r="C22" s="405"/>
      <c r="D22" s="405"/>
      <c r="E22" s="405"/>
      <c r="F22" s="405"/>
    </row>
    <row r="23" spans="1:6">
      <c r="A23" s="405"/>
      <c r="B23" s="405"/>
      <c r="C23" s="405"/>
      <c r="D23" s="405"/>
      <c r="E23" s="405"/>
      <c r="F23" s="405"/>
    </row>
    <row r="24" spans="1:6" ht="38.25">
      <c r="A24" s="418" t="s">
        <v>159</v>
      </c>
      <c r="B24" s="418" t="s">
        <v>160</v>
      </c>
      <c r="C24" s="418" t="s">
        <v>255</v>
      </c>
      <c r="D24" s="418" t="s">
        <v>256</v>
      </c>
      <c r="E24" s="418" t="s">
        <v>161</v>
      </c>
      <c r="F24" s="418" t="s">
        <v>161</v>
      </c>
    </row>
    <row r="25" spans="1:6">
      <c r="A25" s="234" t="s">
        <v>248</v>
      </c>
      <c r="B25" s="419" t="s">
        <v>257</v>
      </c>
      <c r="C25" s="420">
        <f>E$10</f>
        <v>1803</v>
      </c>
      <c r="D25" s="420">
        <v>0</v>
      </c>
      <c r="E25" s="420">
        <f t="shared" ref="E25:E42" si="0">E$19*12</f>
        <v>7212</v>
      </c>
      <c r="F25" s="421">
        <f t="shared" ref="F25:F42" si="1">SUM(D25:E25)</f>
        <v>7212</v>
      </c>
    </row>
    <row r="26" spans="1:6">
      <c r="A26" s="234" t="s">
        <v>237</v>
      </c>
      <c r="B26" s="419" t="s">
        <v>257</v>
      </c>
      <c r="C26" s="420">
        <f>E$10</f>
        <v>1803</v>
      </c>
      <c r="D26" s="420">
        <v>0</v>
      </c>
      <c r="E26" s="420">
        <f t="shared" si="0"/>
        <v>7212</v>
      </c>
      <c r="F26" s="421">
        <f t="shared" si="1"/>
        <v>7212</v>
      </c>
    </row>
    <row r="27" spans="1:6">
      <c r="A27" s="234" t="s">
        <v>231</v>
      </c>
      <c r="B27" s="419" t="s">
        <v>257</v>
      </c>
      <c r="C27" s="420">
        <f>E$10</f>
        <v>1803</v>
      </c>
      <c r="D27" s="420">
        <v>0</v>
      </c>
      <c r="E27" s="420">
        <f t="shared" si="0"/>
        <v>7212</v>
      </c>
      <c r="F27" s="421">
        <f t="shared" si="1"/>
        <v>7212</v>
      </c>
    </row>
    <row r="28" spans="1:6">
      <c r="A28" s="234" t="s">
        <v>230</v>
      </c>
      <c r="B28" s="419" t="s">
        <v>258</v>
      </c>
      <c r="C28" s="420">
        <f t="shared" ref="C28:C42" si="2">E$10</f>
        <v>1803</v>
      </c>
      <c r="D28" s="420">
        <v>0</v>
      </c>
      <c r="E28" s="420">
        <f t="shared" si="0"/>
        <v>7212</v>
      </c>
      <c r="F28" s="421">
        <f t="shared" si="1"/>
        <v>7212</v>
      </c>
    </row>
    <row r="29" spans="1:6">
      <c r="A29" s="234" t="s">
        <v>237</v>
      </c>
      <c r="B29" s="419" t="s">
        <v>258</v>
      </c>
      <c r="C29" s="420">
        <f t="shared" si="2"/>
        <v>1803</v>
      </c>
      <c r="D29" s="420">
        <v>0</v>
      </c>
      <c r="E29" s="420">
        <f t="shared" si="0"/>
        <v>7212</v>
      </c>
      <c r="F29" s="421">
        <f t="shared" si="1"/>
        <v>7212</v>
      </c>
    </row>
    <row r="30" spans="1:6">
      <c r="A30" s="234" t="s">
        <v>232</v>
      </c>
      <c r="B30" s="419" t="s">
        <v>258</v>
      </c>
      <c r="C30" s="420">
        <f t="shared" si="2"/>
        <v>1803</v>
      </c>
      <c r="D30" s="420">
        <v>0</v>
      </c>
      <c r="E30" s="420">
        <f t="shared" si="0"/>
        <v>7212</v>
      </c>
      <c r="F30" s="421">
        <f t="shared" si="1"/>
        <v>7212</v>
      </c>
    </row>
    <row r="31" spans="1:6">
      <c r="A31" s="234" t="s">
        <v>240</v>
      </c>
      <c r="B31" s="419" t="s">
        <v>258</v>
      </c>
      <c r="C31" s="420">
        <f t="shared" si="2"/>
        <v>1803</v>
      </c>
      <c r="D31" s="420">
        <v>0</v>
      </c>
      <c r="E31" s="420">
        <f t="shared" si="0"/>
        <v>7212</v>
      </c>
      <c r="F31" s="421">
        <f t="shared" si="1"/>
        <v>7212</v>
      </c>
    </row>
    <row r="32" spans="1:6">
      <c r="A32" s="234" t="s">
        <v>239</v>
      </c>
      <c r="B32" s="419" t="s">
        <v>258</v>
      </c>
      <c r="C32" s="420">
        <f t="shared" si="2"/>
        <v>1803</v>
      </c>
      <c r="D32" s="420">
        <v>0</v>
      </c>
      <c r="E32" s="420">
        <f t="shared" si="0"/>
        <v>7212</v>
      </c>
      <c r="F32" s="421">
        <f t="shared" si="1"/>
        <v>7212</v>
      </c>
    </row>
    <row r="33" spans="1:6">
      <c r="A33" s="419" t="s">
        <v>234</v>
      </c>
      <c r="B33" s="419" t="s">
        <v>258</v>
      </c>
      <c r="C33" s="420">
        <f t="shared" si="2"/>
        <v>1803</v>
      </c>
      <c r="D33" s="420">
        <v>0</v>
      </c>
      <c r="E33" s="420">
        <f t="shared" si="0"/>
        <v>7212</v>
      </c>
      <c r="F33" s="421">
        <f t="shared" si="1"/>
        <v>7212</v>
      </c>
    </row>
    <row r="34" spans="1:6">
      <c r="A34" s="419" t="s">
        <v>235</v>
      </c>
      <c r="B34" s="419" t="s">
        <v>258</v>
      </c>
      <c r="C34" s="420">
        <f t="shared" si="2"/>
        <v>1803</v>
      </c>
      <c r="D34" s="420">
        <v>0</v>
      </c>
      <c r="E34" s="420">
        <f t="shared" si="0"/>
        <v>7212</v>
      </c>
      <c r="F34" s="421">
        <f t="shared" si="1"/>
        <v>7212</v>
      </c>
    </row>
    <row r="35" spans="1:6">
      <c r="A35" s="419" t="s">
        <v>238</v>
      </c>
      <c r="B35" s="419" t="s">
        <v>258</v>
      </c>
      <c r="C35" s="420">
        <f t="shared" si="2"/>
        <v>1803</v>
      </c>
      <c r="D35" s="420">
        <v>0</v>
      </c>
      <c r="E35" s="420">
        <f t="shared" si="0"/>
        <v>7212</v>
      </c>
      <c r="F35" s="421">
        <f t="shared" si="1"/>
        <v>7212</v>
      </c>
    </row>
    <row r="36" spans="1:6">
      <c r="A36" s="419" t="s">
        <v>236</v>
      </c>
      <c r="B36" s="419" t="s">
        <v>258</v>
      </c>
      <c r="C36" s="420">
        <f t="shared" si="2"/>
        <v>1803</v>
      </c>
      <c r="D36" s="420">
        <v>0</v>
      </c>
      <c r="E36" s="420">
        <f t="shared" si="0"/>
        <v>7212</v>
      </c>
      <c r="F36" s="421">
        <f t="shared" si="1"/>
        <v>7212</v>
      </c>
    </row>
    <row r="37" spans="1:6">
      <c r="A37" s="419" t="s">
        <v>242</v>
      </c>
      <c r="B37" s="419" t="s">
        <v>258</v>
      </c>
      <c r="C37" s="420">
        <f t="shared" si="2"/>
        <v>1803</v>
      </c>
      <c r="D37" s="420">
        <v>0</v>
      </c>
      <c r="E37" s="420">
        <f t="shared" si="0"/>
        <v>7212</v>
      </c>
      <c r="F37" s="421">
        <f t="shared" si="1"/>
        <v>7212</v>
      </c>
    </row>
    <row r="38" spans="1:6">
      <c r="A38" s="419" t="s">
        <v>233</v>
      </c>
      <c r="B38" s="419" t="s">
        <v>258</v>
      </c>
      <c r="C38" s="420">
        <f t="shared" si="2"/>
        <v>1803</v>
      </c>
      <c r="D38" s="420">
        <v>0</v>
      </c>
      <c r="E38" s="420">
        <f t="shared" si="0"/>
        <v>7212</v>
      </c>
      <c r="F38" s="421">
        <f t="shared" si="1"/>
        <v>7212</v>
      </c>
    </row>
    <row r="39" spans="1:6">
      <c r="A39" s="419" t="s">
        <v>243</v>
      </c>
      <c r="B39" s="419" t="s">
        <v>258</v>
      </c>
      <c r="C39" s="420">
        <f t="shared" si="2"/>
        <v>1803</v>
      </c>
      <c r="D39" s="420">
        <v>0</v>
      </c>
      <c r="E39" s="420">
        <f t="shared" si="0"/>
        <v>7212</v>
      </c>
      <c r="F39" s="421">
        <f t="shared" si="1"/>
        <v>7212</v>
      </c>
    </row>
    <row r="40" spans="1:6">
      <c r="A40" s="419" t="s">
        <v>241</v>
      </c>
      <c r="B40" s="419" t="s">
        <v>259</v>
      </c>
      <c r="C40" s="420">
        <f t="shared" si="2"/>
        <v>1803</v>
      </c>
      <c r="D40" s="420">
        <v>0</v>
      </c>
      <c r="E40" s="420">
        <f t="shared" si="0"/>
        <v>7212</v>
      </c>
      <c r="F40" s="421">
        <f t="shared" si="1"/>
        <v>7212</v>
      </c>
    </row>
    <row r="41" spans="1:6">
      <c r="A41" s="419" t="s">
        <v>231</v>
      </c>
      <c r="B41" s="419" t="s">
        <v>260</v>
      </c>
      <c r="C41" s="420">
        <f t="shared" si="2"/>
        <v>1803</v>
      </c>
      <c r="D41" s="420">
        <v>0</v>
      </c>
      <c r="E41" s="420">
        <f t="shared" si="0"/>
        <v>7212</v>
      </c>
      <c r="F41" s="421">
        <f t="shared" si="1"/>
        <v>7212</v>
      </c>
    </row>
    <row r="42" spans="1:6">
      <c r="A42" s="419" t="s">
        <v>237</v>
      </c>
      <c r="B42" s="419" t="s">
        <v>261</v>
      </c>
      <c r="C42" s="420">
        <f t="shared" si="2"/>
        <v>1803</v>
      </c>
      <c r="D42" s="420">
        <v>0</v>
      </c>
      <c r="E42" s="420">
        <f t="shared" si="0"/>
        <v>7212</v>
      </c>
      <c r="F42" s="421">
        <f t="shared" si="1"/>
        <v>7212</v>
      </c>
    </row>
    <row r="43" spans="1:6">
      <c r="A43" s="548" t="s">
        <v>262</v>
      </c>
      <c r="B43" s="548"/>
      <c r="C43" s="548"/>
      <c r="D43" s="548"/>
      <c r="E43" s="548"/>
      <c r="F43" s="405"/>
    </row>
    <row r="44" spans="1:6">
      <c r="A44" s="405" t="s">
        <v>185</v>
      </c>
      <c r="B44" s="405"/>
      <c r="C44" s="405"/>
      <c r="D44" s="405"/>
      <c r="E44" s="405"/>
      <c r="F44" s="405"/>
    </row>
    <row r="45" spans="1:6">
      <c r="A45" s="405"/>
      <c r="B45" s="405"/>
      <c r="C45" s="405"/>
      <c r="D45" s="405"/>
      <c r="E45" s="405"/>
      <c r="F45" s="405"/>
    </row>
    <row r="46" spans="1:6">
      <c r="A46" s="405"/>
      <c r="B46" s="405"/>
      <c r="C46" s="405"/>
      <c r="D46" s="405"/>
      <c r="E46" s="405"/>
      <c r="F46" s="405"/>
    </row>
    <row r="47" spans="1:6">
      <c r="A47" s="405"/>
      <c r="B47" s="405"/>
      <c r="C47" s="405"/>
      <c r="D47" s="405"/>
      <c r="E47" s="405"/>
      <c r="F47" s="405"/>
    </row>
    <row r="48" spans="1:6">
      <c r="A48" s="405"/>
      <c r="B48" s="405"/>
      <c r="C48" s="405"/>
      <c r="D48" s="405"/>
      <c r="E48" s="405"/>
      <c r="F48" s="405"/>
    </row>
    <row r="49" spans="1:6">
      <c r="A49" s="405"/>
      <c r="B49" s="405"/>
      <c r="C49" s="405"/>
      <c r="D49" s="405"/>
      <c r="E49" s="405"/>
      <c r="F49" s="405"/>
    </row>
    <row r="50" spans="1:6">
      <c r="A50" s="405"/>
      <c r="B50" s="405"/>
      <c r="C50" s="405"/>
      <c r="D50" s="405"/>
      <c r="E50" s="405"/>
      <c r="F50" s="405"/>
    </row>
  </sheetData>
  <mergeCells count="1">
    <mergeCell ref="A43:E43"/>
  </mergeCells>
  <phoneticPr fontId="8"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sheetPr codeName="Sheet9">
    <tabColor rgb="FFFF0000"/>
  </sheetPr>
  <dimension ref="A1:N45"/>
  <sheetViews>
    <sheetView workbookViewId="0">
      <selection activeCell="J29" sqref="J29"/>
    </sheetView>
  </sheetViews>
  <sheetFormatPr defaultColWidth="10.6640625" defaultRowHeight="12.75"/>
  <cols>
    <col min="1" max="1" width="33" style="182" customWidth="1"/>
    <col min="2" max="2" width="43.1640625" style="182" customWidth="1"/>
    <col min="3" max="3" width="35.5" style="182" customWidth="1"/>
    <col min="4" max="4" width="51.83203125" style="182" customWidth="1"/>
    <col min="5" max="5" width="11.33203125" style="182" bestFit="1" customWidth="1"/>
    <col min="6" max="6" width="15" style="182" customWidth="1"/>
    <col min="7" max="7" width="10.6640625" style="182" customWidth="1"/>
    <col min="8" max="8" width="11.33203125" style="182" bestFit="1" customWidth="1"/>
    <col min="9" max="12" width="10.6640625" style="182"/>
    <col min="13" max="13" width="15.33203125" style="182" customWidth="1"/>
    <col min="14" max="14" width="13.5" style="182" customWidth="1"/>
    <col min="15" max="16384" width="10.6640625" style="182"/>
  </cols>
  <sheetData>
    <row r="1" spans="1:14" ht="19.5">
      <c r="A1" s="485" t="s">
        <v>353</v>
      </c>
      <c r="B1" s="228"/>
      <c r="C1" s="228"/>
      <c r="D1" s="228"/>
      <c r="E1" s="228"/>
      <c r="F1" s="228"/>
      <c r="G1" s="228"/>
      <c r="H1" s="228"/>
      <c r="I1" s="228"/>
      <c r="J1" s="228"/>
      <c r="K1" s="228"/>
      <c r="L1" s="228"/>
      <c r="M1" s="228"/>
      <c r="N1" s="228"/>
    </row>
    <row r="2" spans="1:14">
      <c r="A2" s="228"/>
      <c r="B2" s="228"/>
      <c r="C2" s="228"/>
      <c r="D2" s="228"/>
      <c r="E2" s="228"/>
      <c r="F2" s="228"/>
      <c r="G2" s="228"/>
      <c r="H2" s="228"/>
      <c r="I2" s="228"/>
      <c r="J2" s="228"/>
      <c r="K2" s="228"/>
      <c r="L2" s="228"/>
      <c r="M2" s="228"/>
      <c r="N2" s="228"/>
    </row>
    <row r="3" spans="1:14">
      <c r="A3" s="508" t="s">
        <v>163</v>
      </c>
      <c r="B3" s="234" t="s">
        <v>251</v>
      </c>
      <c r="C3" s="234" t="s">
        <v>252</v>
      </c>
      <c r="D3" s="234" t="s">
        <v>87</v>
      </c>
      <c r="E3" s="228"/>
      <c r="F3" s="228"/>
      <c r="G3" s="228"/>
      <c r="H3" s="228"/>
      <c r="I3" s="228"/>
      <c r="J3" s="228"/>
      <c r="K3" s="228"/>
      <c r="L3" s="228"/>
      <c r="M3" s="228"/>
      <c r="N3" s="228"/>
    </row>
    <row r="4" spans="1:14">
      <c r="A4" s="508" t="s">
        <v>264</v>
      </c>
      <c r="B4" s="424">
        <v>201</v>
      </c>
      <c r="C4" s="424">
        <v>400</v>
      </c>
      <c r="D4" s="424">
        <f>AVERAGE(B4:C4)</f>
        <v>300.5</v>
      </c>
      <c r="E4" s="509" t="s">
        <v>162</v>
      </c>
      <c r="F4" s="423"/>
      <c r="G4" s="423"/>
      <c r="H4" s="228"/>
      <c r="I4" s="228"/>
      <c r="J4" s="228"/>
      <c r="K4" s="228"/>
      <c r="L4" s="228"/>
      <c r="M4" s="228"/>
      <c r="N4" s="228"/>
    </row>
    <row r="5" spans="1:14">
      <c r="A5" s="508" t="s">
        <v>265</v>
      </c>
      <c r="B5" s="424"/>
      <c r="C5" s="424"/>
      <c r="D5" s="424">
        <v>190</v>
      </c>
      <c r="E5" s="234" t="s">
        <v>266</v>
      </c>
      <c r="F5" s="423"/>
      <c r="G5" s="423"/>
      <c r="H5" s="228"/>
      <c r="I5" s="228"/>
      <c r="J5" s="228"/>
      <c r="K5" s="228"/>
      <c r="L5" s="228"/>
      <c r="M5" s="228"/>
      <c r="N5" s="228"/>
    </row>
    <row r="6" spans="1:14">
      <c r="A6" s="508" t="s">
        <v>267</v>
      </c>
      <c r="B6" s="425"/>
      <c r="C6" s="425"/>
      <c r="D6" s="425">
        <v>0</v>
      </c>
      <c r="E6" s="426" t="s">
        <v>268</v>
      </c>
      <c r="F6" s="227"/>
      <c r="G6" s="227"/>
      <c r="H6" s="227"/>
      <c r="I6" s="227"/>
      <c r="J6" s="227"/>
      <c r="K6" s="227"/>
      <c r="L6" s="227"/>
      <c r="M6" s="227"/>
      <c r="N6" s="227"/>
    </row>
    <row r="7" spans="1:14">
      <c r="A7" s="229"/>
      <c r="B7" s="422"/>
      <c r="C7" s="422"/>
      <c r="D7" s="422"/>
      <c r="E7" s="228"/>
      <c r="F7" s="228"/>
      <c r="G7" s="228"/>
      <c r="H7" s="228"/>
      <c r="I7" s="228"/>
      <c r="J7" s="228"/>
      <c r="K7" s="228"/>
      <c r="L7" s="228"/>
      <c r="M7" s="228"/>
      <c r="N7" s="228"/>
    </row>
    <row r="8" spans="1:14">
      <c r="A8" s="229"/>
      <c r="B8" s="427"/>
      <c r="C8" s="428"/>
      <c r="D8" s="422"/>
      <c r="E8" s="228"/>
      <c r="F8" s="228"/>
      <c r="G8" s="228"/>
      <c r="H8" s="228"/>
      <c r="I8" s="228"/>
      <c r="J8" s="228"/>
      <c r="K8" s="228"/>
      <c r="L8" s="228"/>
      <c r="M8" s="228"/>
      <c r="N8" s="228"/>
    </row>
    <row r="9" spans="1:14" ht="12.75" customHeight="1">
      <c r="A9" s="228"/>
      <c r="B9" s="549" t="s">
        <v>269</v>
      </c>
      <c r="C9" s="549"/>
      <c r="D9"/>
      <c r="E9"/>
      <c r="F9"/>
      <c r="G9"/>
      <c r="H9"/>
      <c r="I9"/>
      <c r="J9"/>
      <c r="K9"/>
      <c r="L9"/>
      <c r="M9"/>
      <c r="N9"/>
    </row>
    <row r="10" spans="1:14">
      <c r="A10" s="228"/>
      <c r="B10" s="549"/>
      <c r="C10" s="549"/>
      <c r="D10"/>
      <c r="E10"/>
      <c r="F10"/>
      <c r="G10"/>
      <c r="H10"/>
      <c r="I10"/>
      <c r="J10"/>
      <c r="K10"/>
      <c r="L10"/>
      <c r="M10"/>
      <c r="N10"/>
    </row>
    <row r="11" spans="1:14" ht="25.5">
      <c r="A11" s="234"/>
      <c r="B11" s="429" t="s">
        <v>270</v>
      </c>
      <c r="C11" s="430" t="s">
        <v>271</v>
      </c>
      <c r="D11"/>
      <c r="E11"/>
      <c r="F11"/>
      <c r="G11"/>
      <c r="H11"/>
      <c r="I11"/>
      <c r="J11"/>
      <c r="K11"/>
      <c r="L11"/>
      <c r="M11"/>
      <c r="N11"/>
    </row>
    <row r="12" spans="1:14">
      <c r="A12" s="234" t="s">
        <v>237</v>
      </c>
      <c r="B12" s="234">
        <f>B38</f>
        <v>6</v>
      </c>
      <c r="C12" s="234">
        <f t="shared" ref="C12:C26" si="0">IF(B12="",B$27,B12)</f>
        <v>6</v>
      </c>
      <c r="D12"/>
      <c r="E12"/>
      <c r="F12"/>
      <c r="G12"/>
      <c r="H12"/>
      <c r="I12"/>
      <c r="J12"/>
      <c r="K12"/>
      <c r="L12"/>
      <c r="M12"/>
      <c r="N12"/>
    </row>
    <row r="13" spans="1:14">
      <c r="A13" s="234" t="s">
        <v>248</v>
      </c>
      <c r="B13" s="234"/>
      <c r="C13" s="234">
        <f t="shared" si="0"/>
        <v>3</v>
      </c>
      <c r="D13"/>
      <c r="E13"/>
      <c r="F13"/>
      <c r="G13"/>
      <c r="H13"/>
      <c r="I13"/>
      <c r="J13"/>
      <c r="K13"/>
      <c r="L13"/>
      <c r="M13"/>
      <c r="N13"/>
    </row>
    <row r="14" spans="1:14">
      <c r="A14" s="234" t="s">
        <v>231</v>
      </c>
      <c r="B14" s="234"/>
      <c r="C14" s="234">
        <f t="shared" si="0"/>
        <v>3</v>
      </c>
      <c r="D14"/>
      <c r="E14"/>
      <c r="F14"/>
      <c r="G14"/>
      <c r="H14"/>
      <c r="I14"/>
      <c r="J14"/>
      <c r="K14"/>
      <c r="L14"/>
      <c r="M14"/>
      <c r="N14"/>
    </row>
    <row r="15" spans="1:14">
      <c r="A15" s="234" t="s">
        <v>241</v>
      </c>
      <c r="B15" s="234"/>
      <c r="C15" s="234">
        <f t="shared" si="0"/>
        <v>3</v>
      </c>
      <c r="D15"/>
      <c r="E15"/>
      <c r="F15"/>
      <c r="G15"/>
      <c r="H15"/>
      <c r="I15"/>
      <c r="J15"/>
      <c r="K15"/>
      <c r="L15"/>
      <c r="M15"/>
      <c r="N15"/>
    </row>
    <row r="16" spans="1:14">
      <c r="A16" s="234" t="s">
        <v>230</v>
      </c>
      <c r="B16" s="234">
        <f>B33</f>
        <v>1</v>
      </c>
      <c r="C16" s="234">
        <f t="shared" si="0"/>
        <v>1</v>
      </c>
      <c r="D16"/>
      <c r="E16"/>
      <c r="F16"/>
      <c r="G16"/>
      <c r="H16"/>
      <c r="I16"/>
      <c r="J16"/>
      <c r="K16"/>
      <c r="L16"/>
      <c r="M16"/>
      <c r="N16"/>
    </row>
    <row r="17" spans="1:14">
      <c r="A17" s="234" t="s">
        <v>232</v>
      </c>
      <c r="B17" s="234"/>
      <c r="C17" s="234">
        <f t="shared" si="0"/>
        <v>3</v>
      </c>
      <c r="D17"/>
      <c r="E17"/>
      <c r="F17"/>
      <c r="G17"/>
      <c r="H17"/>
      <c r="I17"/>
      <c r="J17"/>
      <c r="K17"/>
      <c r="L17"/>
      <c r="M17"/>
      <c r="N17"/>
    </row>
    <row r="18" spans="1:14">
      <c r="A18" s="234" t="s">
        <v>233</v>
      </c>
      <c r="B18" s="234">
        <f>B34</f>
        <v>1</v>
      </c>
      <c r="C18" s="234">
        <f t="shared" si="0"/>
        <v>1</v>
      </c>
      <c r="D18"/>
      <c r="E18"/>
      <c r="F18"/>
      <c r="G18"/>
      <c r="H18"/>
      <c r="I18"/>
      <c r="J18"/>
      <c r="K18"/>
      <c r="L18"/>
      <c r="M18"/>
      <c r="N18"/>
    </row>
    <row r="19" spans="1:14">
      <c r="A19" s="234" t="s">
        <v>234</v>
      </c>
      <c r="B19" s="234"/>
      <c r="C19" s="234">
        <f t="shared" si="0"/>
        <v>3</v>
      </c>
      <c r="D19"/>
      <c r="E19"/>
      <c r="F19"/>
      <c r="G19"/>
      <c r="H19"/>
      <c r="I19"/>
      <c r="J19"/>
      <c r="K19"/>
      <c r="L19"/>
      <c r="M19"/>
      <c r="N19"/>
    </row>
    <row r="20" spans="1:14">
      <c r="A20" s="234" t="s">
        <v>235</v>
      </c>
      <c r="B20" s="234">
        <f>B37</f>
        <v>7</v>
      </c>
      <c r="C20" s="234">
        <f t="shared" si="0"/>
        <v>7</v>
      </c>
      <c r="D20"/>
      <c r="E20"/>
      <c r="F20"/>
      <c r="G20"/>
      <c r="H20"/>
      <c r="I20"/>
      <c r="J20"/>
      <c r="K20"/>
      <c r="L20"/>
      <c r="M20"/>
      <c r="N20"/>
    </row>
    <row r="21" spans="1:14">
      <c r="A21" s="234" t="s">
        <v>236</v>
      </c>
      <c r="B21" s="234"/>
      <c r="C21" s="234">
        <f t="shared" si="0"/>
        <v>3</v>
      </c>
      <c r="D21"/>
      <c r="E21"/>
      <c r="F21"/>
      <c r="G21"/>
      <c r="H21"/>
      <c r="I21"/>
      <c r="J21"/>
      <c r="K21"/>
      <c r="L21"/>
      <c r="M21"/>
      <c r="N21"/>
    </row>
    <row r="22" spans="1:14">
      <c r="A22" s="234" t="s">
        <v>238</v>
      </c>
      <c r="B22" s="234">
        <f>B39</f>
        <v>3</v>
      </c>
      <c r="C22" s="234">
        <f t="shared" si="0"/>
        <v>3</v>
      </c>
      <c r="D22"/>
      <c r="E22"/>
      <c r="F22"/>
      <c r="G22"/>
      <c r="H22"/>
      <c r="I22"/>
      <c r="J22"/>
      <c r="K22"/>
      <c r="L22"/>
      <c r="M22"/>
      <c r="N22"/>
    </row>
    <row r="23" spans="1:14">
      <c r="A23" s="234" t="s">
        <v>239</v>
      </c>
      <c r="B23" s="234">
        <f>B40</f>
        <v>1</v>
      </c>
      <c r="C23" s="234">
        <f t="shared" si="0"/>
        <v>1</v>
      </c>
      <c r="D23"/>
      <c r="E23"/>
      <c r="F23"/>
      <c r="G23"/>
      <c r="H23"/>
      <c r="I23"/>
      <c r="J23"/>
      <c r="K23"/>
      <c r="L23"/>
      <c r="M23"/>
      <c r="N23"/>
    </row>
    <row r="24" spans="1:14">
      <c r="A24" s="234" t="s">
        <v>240</v>
      </c>
      <c r="B24" s="234">
        <f>B41</f>
        <v>2</v>
      </c>
      <c r="C24" s="234">
        <f t="shared" si="0"/>
        <v>2</v>
      </c>
      <c r="D24"/>
      <c r="E24"/>
      <c r="F24"/>
      <c r="G24"/>
      <c r="H24"/>
      <c r="I24"/>
      <c r="J24"/>
      <c r="K24"/>
      <c r="L24"/>
      <c r="M24"/>
      <c r="N24"/>
    </row>
    <row r="25" spans="1:14">
      <c r="A25" s="234" t="s">
        <v>242</v>
      </c>
      <c r="B25" s="234">
        <f>B43</f>
        <v>1</v>
      </c>
      <c r="C25" s="234">
        <f t="shared" si="0"/>
        <v>1</v>
      </c>
      <c r="D25"/>
      <c r="E25"/>
      <c r="F25"/>
      <c r="G25"/>
      <c r="H25"/>
      <c r="I25"/>
      <c r="J25"/>
      <c r="K25"/>
      <c r="L25"/>
      <c r="M25"/>
      <c r="N25"/>
    </row>
    <row r="26" spans="1:14">
      <c r="A26" s="234" t="s">
        <v>243</v>
      </c>
      <c r="B26" s="234">
        <f>B44</f>
        <v>2</v>
      </c>
      <c r="C26" s="234">
        <f t="shared" si="0"/>
        <v>2</v>
      </c>
      <c r="D26"/>
      <c r="E26"/>
      <c r="F26"/>
      <c r="G26"/>
      <c r="H26"/>
      <c r="I26"/>
      <c r="J26"/>
      <c r="K26"/>
      <c r="L26"/>
      <c r="M26"/>
      <c r="N26"/>
    </row>
    <row r="27" spans="1:14">
      <c r="A27" s="395" t="s">
        <v>87</v>
      </c>
      <c r="B27" s="234">
        <f>ROUNDUP(AVERAGE(B22:B26,B20:B20,B18,B16,B12:B12),0)</f>
        <v>3</v>
      </c>
      <c r="C27"/>
      <c r="D27"/>
      <c r="E27"/>
      <c r="F27"/>
      <c r="G27"/>
      <c r="H27"/>
      <c r="I27"/>
      <c r="J27"/>
      <c r="K27"/>
      <c r="L27"/>
      <c r="M27"/>
      <c r="N27"/>
    </row>
    <row r="28" spans="1:14">
      <c r="A28" s="228"/>
      <c r="B28" s="228"/>
      <c r="C28" s="228"/>
      <c r="D28" s="228"/>
      <c r="E28" s="228"/>
      <c r="F28" s="228"/>
      <c r="G28" s="228"/>
      <c r="H28" s="228"/>
      <c r="I28" s="228"/>
      <c r="J28" s="228"/>
      <c r="K28" s="228"/>
      <c r="L28"/>
      <c r="M28"/>
      <c r="N28"/>
    </row>
    <row r="29" spans="1:14">
      <c r="A29" s="228"/>
      <c r="B29" s="228" t="s">
        <v>412</v>
      </c>
      <c r="C29" s="228">
        <f>42+15</f>
        <v>57</v>
      </c>
      <c r="D29" s="228"/>
      <c r="E29" s="228"/>
      <c r="F29" s="228"/>
      <c r="G29" s="228"/>
      <c r="H29" s="228"/>
      <c r="I29" s="228"/>
      <c r="J29" s="228"/>
      <c r="K29" s="228"/>
      <c r="L29"/>
      <c r="M29"/>
      <c r="N29"/>
    </row>
    <row r="30" spans="1:14">
      <c r="A30" s="228"/>
      <c r="B30" s="228"/>
      <c r="C30" s="228"/>
      <c r="D30"/>
      <c r="E30" s="228"/>
      <c r="F30" s="228"/>
      <c r="G30" s="228"/>
      <c r="H30" s="228"/>
      <c r="I30" s="228"/>
      <c r="J30" s="228"/>
      <c r="K30" s="228"/>
      <c r="L30"/>
      <c r="M30"/>
      <c r="N30"/>
    </row>
    <row r="31" spans="1:14">
      <c r="A31" s="437" t="s">
        <v>272</v>
      </c>
      <c r="B31" s="432"/>
      <c r="C31" s="228"/>
      <c r="D31"/>
      <c r="E31" s="228"/>
      <c r="F31" s="228"/>
      <c r="G31" s="228"/>
      <c r="H31" s="228"/>
      <c r="I31" s="228"/>
      <c r="J31" s="228"/>
      <c r="K31" s="228"/>
      <c r="L31"/>
      <c r="M31"/>
      <c r="N31"/>
    </row>
    <row r="32" spans="1:14">
      <c r="A32" s="437" t="s">
        <v>273</v>
      </c>
      <c r="B32" s="432" t="s">
        <v>41</v>
      </c>
      <c r="C32" s="228"/>
      <c r="D32" s="228"/>
      <c r="E32" s="228"/>
      <c r="F32" s="228"/>
      <c r="G32" s="228"/>
      <c r="H32" s="228"/>
      <c r="I32" s="228"/>
      <c r="J32" s="228"/>
      <c r="K32" s="228"/>
      <c r="L32"/>
      <c r="M32"/>
      <c r="N32"/>
    </row>
    <row r="33" spans="1:14">
      <c r="A33" s="431" t="s">
        <v>274</v>
      </c>
      <c r="B33" s="432">
        <v>1</v>
      </c>
      <c r="C33" s="228"/>
      <c r="D33" s="228"/>
      <c r="E33" s="228"/>
      <c r="F33" s="228"/>
      <c r="G33" s="228"/>
      <c r="H33" s="228"/>
      <c r="I33" s="228"/>
      <c r="J33" s="228"/>
      <c r="K33" s="228"/>
      <c r="L33"/>
      <c r="M33"/>
      <c r="N33"/>
    </row>
    <row r="34" spans="1:14">
      <c r="A34" s="433" t="s">
        <v>275</v>
      </c>
      <c r="B34" s="434">
        <v>1</v>
      </c>
      <c r="C34" s="228"/>
      <c r="D34" s="228"/>
      <c r="E34" s="228"/>
      <c r="F34" s="228"/>
      <c r="G34" s="228"/>
      <c r="H34" s="228"/>
      <c r="I34" s="228"/>
      <c r="J34" s="228"/>
      <c r="K34" s="228"/>
      <c r="L34" s="228"/>
      <c r="M34" s="228"/>
      <c r="N34" s="228"/>
    </row>
    <row r="35" spans="1:14">
      <c r="A35" s="433" t="s">
        <v>276</v>
      </c>
      <c r="B35" s="434">
        <v>1</v>
      </c>
      <c r="C35" s="228"/>
      <c r="D35" s="228"/>
      <c r="E35" s="228"/>
      <c r="F35" s="228"/>
      <c r="G35" s="228"/>
      <c r="H35" s="228"/>
      <c r="I35" s="228"/>
      <c r="J35" s="228"/>
      <c r="K35" s="228"/>
      <c r="L35" s="228"/>
      <c r="M35" s="228"/>
      <c r="N35" s="228"/>
    </row>
    <row r="36" spans="1:14">
      <c r="A36" s="433" t="s">
        <v>277</v>
      </c>
      <c r="B36" s="434">
        <v>1</v>
      </c>
      <c r="C36" s="228"/>
      <c r="D36" s="228"/>
      <c r="E36" s="228"/>
      <c r="F36" s="228"/>
      <c r="G36" s="228"/>
      <c r="H36" s="228"/>
      <c r="I36" s="228"/>
      <c r="J36" s="228"/>
      <c r="K36" s="228"/>
      <c r="L36" s="228"/>
      <c r="M36" s="228"/>
      <c r="N36" s="228"/>
    </row>
    <row r="37" spans="1:14">
      <c r="A37" s="433" t="s">
        <v>278</v>
      </c>
      <c r="B37" s="434">
        <v>7</v>
      </c>
      <c r="C37" s="228"/>
      <c r="D37" s="228"/>
      <c r="E37" s="228"/>
      <c r="F37" s="228"/>
      <c r="G37" s="228"/>
      <c r="H37" s="228"/>
      <c r="I37" s="228"/>
      <c r="J37" s="228"/>
      <c r="K37" s="228"/>
      <c r="L37" s="228"/>
      <c r="M37" s="228"/>
      <c r="N37" s="228"/>
    </row>
    <row r="38" spans="1:14">
      <c r="A38" s="433" t="s">
        <v>279</v>
      </c>
      <c r="B38" s="434">
        <v>6</v>
      </c>
      <c r="C38" s="228"/>
      <c r="D38" s="228"/>
      <c r="E38" s="228"/>
      <c r="F38" s="228"/>
      <c r="G38" s="228"/>
      <c r="H38" s="228"/>
      <c r="I38" s="228"/>
      <c r="J38" s="228"/>
      <c r="K38" s="228"/>
      <c r="L38" s="228"/>
      <c r="M38" s="228"/>
      <c r="N38" s="228"/>
    </row>
    <row r="39" spans="1:14">
      <c r="A39" s="433" t="s">
        <v>280</v>
      </c>
      <c r="B39" s="434">
        <v>3</v>
      </c>
      <c r="C39" s="228"/>
      <c r="D39" s="228"/>
      <c r="E39" s="228"/>
      <c r="F39" s="228"/>
      <c r="G39" s="228"/>
      <c r="H39" s="228"/>
      <c r="I39" s="228"/>
      <c r="J39" s="228"/>
      <c r="K39" s="228"/>
      <c r="L39" s="228"/>
      <c r="M39" s="228"/>
      <c r="N39" s="228"/>
    </row>
    <row r="40" spans="1:14">
      <c r="A40" s="433" t="s">
        <v>281</v>
      </c>
      <c r="B40" s="434">
        <v>1</v>
      </c>
      <c r="C40" s="228"/>
      <c r="D40" s="228"/>
      <c r="E40" s="228"/>
      <c r="F40" s="228"/>
      <c r="G40" s="228"/>
      <c r="H40" s="228"/>
      <c r="I40" s="228"/>
      <c r="J40" s="228"/>
      <c r="K40" s="228"/>
      <c r="L40" s="228"/>
      <c r="M40" s="228"/>
      <c r="N40" s="228"/>
    </row>
    <row r="41" spans="1:14">
      <c r="A41" s="433" t="s">
        <v>282</v>
      </c>
      <c r="B41" s="434">
        <v>2</v>
      </c>
      <c r="C41" s="228"/>
      <c r="D41" s="228"/>
      <c r="E41" s="228"/>
      <c r="F41" s="228"/>
      <c r="G41" s="228"/>
      <c r="H41" s="228"/>
      <c r="I41" s="228"/>
      <c r="J41" s="228"/>
      <c r="K41" s="228"/>
      <c r="L41" s="228"/>
      <c r="M41" s="228"/>
      <c r="N41" s="228"/>
    </row>
    <row r="42" spans="1:14">
      <c r="A42" s="433" t="s">
        <v>283</v>
      </c>
      <c r="B42" s="434">
        <v>6</v>
      </c>
      <c r="C42" s="228"/>
      <c r="D42" s="228"/>
      <c r="E42" s="228"/>
      <c r="F42" s="228"/>
      <c r="G42" s="228"/>
      <c r="H42" s="228"/>
      <c r="I42" s="228"/>
      <c r="J42" s="228"/>
      <c r="K42" s="228"/>
      <c r="L42" s="228"/>
      <c r="M42" s="228"/>
      <c r="N42" s="228"/>
    </row>
    <row r="43" spans="1:14">
      <c r="A43" s="433" t="s">
        <v>284</v>
      </c>
      <c r="B43" s="434">
        <v>1</v>
      </c>
      <c r="C43" s="228"/>
      <c r="D43" s="228"/>
      <c r="E43" s="228"/>
      <c r="F43" s="228"/>
      <c r="G43" s="228"/>
      <c r="H43" s="228"/>
      <c r="I43" s="228"/>
      <c r="J43" s="228"/>
      <c r="K43" s="228"/>
      <c r="L43" s="228"/>
      <c r="M43" s="228"/>
      <c r="N43" s="228"/>
    </row>
    <row r="44" spans="1:14">
      <c r="A44" s="433" t="s">
        <v>285</v>
      </c>
      <c r="B44" s="434">
        <v>2</v>
      </c>
      <c r="C44" s="228"/>
      <c r="D44" s="228"/>
      <c r="E44" s="228"/>
      <c r="F44" s="228"/>
      <c r="G44" s="228"/>
      <c r="H44" s="228"/>
      <c r="I44" s="228"/>
      <c r="J44" s="228"/>
      <c r="K44" s="228"/>
      <c r="L44" s="228"/>
      <c r="M44" s="228"/>
      <c r="N44" s="228"/>
    </row>
    <row r="45" spans="1:14">
      <c r="A45" s="435" t="s">
        <v>286</v>
      </c>
      <c r="B45" s="436">
        <v>32</v>
      </c>
      <c r="C45" s="228"/>
      <c r="D45" s="228"/>
      <c r="E45" s="228"/>
      <c r="F45" s="228"/>
      <c r="G45" s="228"/>
      <c r="H45" s="228"/>
      <c r="I45" s="228"/>
      <c r="J45" s="228"/>
      <c r="K45" s="228"/>
      <c r="L45" s="228"/>
      <c r="M45" s="228"/>
      <c r="N45" s="228"/>
    </row>
  </sheetData>
  <mergeCells count="1">
    <mergeCell ref="B9:C10"/>
  </mergeCells>
  <phoneticPr fontId="8"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sheetPr codeName="Sheet3">
    <tabColor rgb="FFFF0000"/>
  </sheetPr>
  <dimension ref="A1:J19"/>
  <sheetViews>
    <sheetView workbookViewId="0">
      <selection activeCell="J29" sqref="J29"/>
    </sheetView>
  </sheetViews>
  <sheetFormatPr defaultRowHeight="10.5"/>
  <cols>
    <col min="1" max="1" width="25" customWidth="1"/>
    <col min="2" max="10" width="16.83203125" customWidth="1"/>
    <col min="11" max="11" width="10.5" bestFit="1" customWidth="1"/>
    <col min="12" max="13" width="9.5" bestFit="1" customWidth="1"/>
  </cols>
  <sheetData>
    <row r="1" spans="1:10" ht="19.5">
      <c r="A1" s="489" t="s">
        <v>246</v>
      </c>
    </row>
    <row r="2" spans="1:10" ht="63.75">
      <c r="A2" s="497" t="s">
        <v>159</v>
      </c>
      <c r="B2" s="498" t="s">
        <v>387</v>
      </c>
      <c r="C2" s="499" t="s">
        <v>388</v>
      </c>
      <c r="D2" s="498" t="s">
        <v>389</v>
      </c>
      <c r="E2" s="499" t="s">
        <v>390</v>
      </c>
      <c r="F2" s="499" t="s">
        <v>391</v>
      </c>
      <c r="G2" s="499" t="s">
        <v>392</v>
      </c>
      <c r="H2" s="499" t="s">
        <v>393</v>
      </c>
      <c r="I2" s="499" t="s">
        <v>394</v>
      </c>
      <c r="J2" s="499" t="s">
        <v>395</v>
      </c>
    </row>
    <row r="3" spans="1:10" ht="11.25">
      <c r="A3" s="234" t="s">
        <v>230</v>
      </c>
      <c r="B3" s="481" t="s">
        <v>244</v>
      </c>
      <c r="C3" s="482">
        <v>188913</v>
      </c>
      <c r="D3" s="482">
        <v>77797.502752356988</v>
      </c>
      <c r="E3" s="483">
        <v>266710.50275235699</v>
      </c>
      <c r="F3" s="482">
        <v>11174.863541469867</v>
      </c>
      <c r="G3" s="482">
        <v>7030.1908296908168</v>
      </c>
      <c r="H3" s="483">
        <v>18205.054371160684</v>
      </c>
      <c r="I3" s="483">
        <v>26897</v>
      </c>
      <c r="J3" s="483">
        <v>45102.054371160681</v>
      </c>
    </row>
    <row r="4" spans="1:10" ht="11.25">
      <c r="A4" s="234" t="s">
        <v>231</v>
      </c>
      <c r="B4" s="484" t="s">
        <v>245</v>
      </c>
      <c r="C4" s="482">
        <v>188913</v>
      </c>
      <c r="D4" s="482"/>
      <c r="E4" s="483">
        <v>188913</v>
      </c>
      <c r="F4" s="482"/>
      <c r="G4" s="482"/>
      <c r="H4" s="483">
        <v>0</v>
      </c>
      <c r="I4" s="483">
        <v>26897</v>
      </c>
      <c r="J4" s="483">
        <v>26897</v>
      </c>
    </row>
    <row r="5" spans="1:10" ht="11.25">
      <c r="A5" s="234" t="s">
        <v>232</v>
      </c>
      <c r="B5" s="481" t="s">
        <v>244</v>
      </c>
      <c r="C5" s="482">
        <v>188913</v>
      </c>
      <c r="D5" s="482">
        <v>77797.502752356988</v>
      </c>
      <c r="E5" s="483">
        <v>266710.50275235699</v>
      </c>
      <c r="F5" s="482">
        <v>11174.863541469867</v>
      </c>
      <c r="G5" s="482">
        <v>7030.1908296908168</v>
      </c>
      <c r="H5" s="483">
        <v>18205.054371160684</v>
      </c>
      <c r="I5" s="483">
        <v>26897</v>
      </c>
      <c r="J5" s="483">
        <v>45102.054371160681</v>
      </c>
    </row>
    <row r="6" spans="1:10" ht="11.25">
      <c r="A6" s="234" t="s">
        <v>233</v>
      </c>
      <c r="B6" s="481" t="s">
        <v>244</v>
      </c>
      <c r="C6" s="482">
        <v>188913</v>
      </c>
      <c r="D6" s="482">
        <v>77797.502752356988</v>
      </c>
      <c r="E6" s="483">
        <v>266710.50275235699</v>
      </c>
      <c r="F6" s="482">
        <v>11174.863541469867</v>
      </c>
      <c r="G6" s="482">
        <v>7030.1908296908168</v>
      </c>
      <c r="H6" s="483">
        <v>18205.054371160684</v>
      </c>
      <c r="I6" s="483">
        <v>26897</v>
      </c>
      <c r="J6" s="483">
        <v>45102.054371160681</v>
      </c>
    </row>
    <row r="7" spans="1:10" ht="11.25">
      <c r="A7" s="234" t="s">
        <v>234</v>
      </c>
      <c r="B7" s="484" t="s">
        <v>245</v>
      </c>
      <c r="C7" s="482">
        <v>188913</v>
      </c>
      <c r="D7" s="482"/>
      <c r="E7" s="483">
        <v>188913</v>
      </c>
      <c r="F7" s="482"/>
      <c r="G7" s="482"/>
      <c r="H7" s="483">
        <v>0</v>
      </c>
      <c r="I7" s="483">
        <v>26897</v>
      </c>
      <c r="J7" s="483">
        <v>26897</v>
      </c>
    </row>
    <row r="8" spans="1:10" ht="11.25">
      <c r="A8" s="234" t="s">
        <v>235</v>
      </c>
      <c r="B8" s="481" t="s">
        <v>244</v>
      </c>
      <c r="C8" s="482">
        <v>188913</v>
      </c>
      <c r="D8" s="482">
        <v>77797.502752356988</v>
      </c>
      <c r="E8" s="483">
        <v>266710.50275235699</v>
      </c>
      <c r="F8" s="482">
        <v>11174.863541469867</v>
      </c>
      <c r="G8" s="482">
        <v>7030.1908296908168</v>
      </c>
      <c r="H8" s="483">
        <v>18205.054371160684</v>
      </c>
      <c r="I8" s="483">
        <v>26897</v>
      </c>
      <c r="J8" s="483">
        <v>45102.054371160681</v>
      </c>
    </row>
    <row r="9" spans="1:10" ht="11.25">
      <c r="A9" s="234" t="s">
        <v>236</v>
      </c>
      <c r="B9" s="481" t="s">
        <v>244</v>
      </c>
      <c r="C9" s="482">
        <v>188913</v>
      </c>
      <c r="D9" s="482">
        <v>77797.502752356988</v>
      </c>
      <c r="E9" s="483">
        <v>266710.50275235699</v>
      </c>
      <c r="F9" s="482">
        <v>11174.863541469867</v>
      </c>
      <c r="G9" s="482">
        <v>7030.1908296908168</v>
      </c>
      <c r="H9" s="483">
        <v>18205.054371160684</v>
      </c>
      <c r="I9" s="483">
        <v>26897</v>
      </c>
      <c r="J9" s="483">
        <v>45102.054371160681</v>
      </c>
    </row>
    <row r="10" spans="1:10" ht="11.25">
      <c r="A10" s="234" t="s">
        <v>237</v>
      </c>
      <c r="B10" s="484" t="s">
        <v>244</v>
      </c>
      <c r="C10" s="482">
        <v>188913</v>
      </c>
      <c r="D10" s="482">
        <v>77797.502752356988</v>
      </c>
      <c r="E10" s="483">
        <v>266710.50275235699</v>
      </c>
      <c r="F10" s="482">
        <v>11174.863541469867</v>
      </c>
      <c r="G10" s="482">
        <v>7030.1908296908168</v>
      </c>
      <c r="H10" s="483">
        <v>18205.054371160684</v>
      </c>
      <c r="I10" s="483">
        <v>26897</v>
      </c>
      <c r="J10" s="483">
        <v>45102.054371160681</v>
      </c>
    </row>
    <row r="11" spans="1:10" ht="11.25">
      <c r="A11" s="234" t="s">
        <v>248</v>
      </c>
      <c r="B11" s="484" t="s">
        <v>244</v>
      </c>
      <c r="C11" s="482">
        <v>188913</v>
      </c>
      <c r="D11" s="482">
        <v>77797.502752356988</v>
      </c>
      <c r="E11" s="483">
        <v>266710.50275235699</v>
      </c>
      <c r="F11" s="482">
        <v>11174.863541469867</v>
      </c>
      <c r="G11" s="482">
        <v>7030.1908296908168</v>
      </c>
      <c r="H11" s="483">
        <v>18205.054371160684</v>
      </c>
      <c r="I11" s="483">
        <v>26897</v>
      </c>
      <c r="J11" s="483">
        <v>45102.054371160681</v>
      </c>
    </row>
    <row r="12" spans="1:10" ht="11.25">
      <c r="A12" s="234" t="s">
        <v>238</v>
      </c>
      <c r="B12" s="481" t="s">
        <v>244</v>
      </c>
      <c r="C12" s="482">
        <v>188913</v>
      </c>
      <c r="D12" s="482">
        <v>77797.502752356988</v>
      </c>
      <c r="E12" s="483">
        <v>266710.50275235699</v>
      </c>
      <c r="F12" s="482">
        <v>11174.863541469867</v>
      </c>
      <c r="G12" s="482">
        <v>7030.1908296908168</v>
      </c>
      <c r="H12" s="483">
        <v>18205.054371160684</v>
      </c>
      <c r="I12" s="483">
        <v>26897</v>
      </c>
      <c r="J12" s="483">
        <v>45102.054371160681</v>
      </c>
    </row>
    <row r="13" spans="1:10" ht="11.25">
      <c r="A13" s="234" t="s">
        <v>239</v>
      </c>
      <c r="B13" s="484" t="s">
        <v>244</v>
      </c>
      <c r="C13" s="482">
        <v>188913</v>
      </c>
      <c r="D13" s="482">
        <v>77797.502752356988</v>
      </c>
      <c r="E13" s="483">
        <v>266710.50275235699</v>
      </c>
      <c r="F13" s="482">
        <v>11174.863541469867</v>
      </c>
      <c r="G13" s="482">
        <v>7030.1908296908168</v>
      </c>
      <c r="H13" s="483">
        <v>18205.054371160684</v>
      </c>
      <c r="I13" s="483">
        <v>26897</v>
      </c>
      <c r="J13" s="483">
        <v>26897</v>
      </c>
    </row>
    <row r="14" spans="1:10" ht="11.25">
      <c r="A14" s="234" t="s">
        <v>240</v>
      </c>
      <c r="B14" s="481" t="s">
        <v>244</v>
      </c>
      <c r="C14" s="482">
        <v>188913</v>
      </c>
      <c r="D14" s="482">
        <v>77797.502752356988</v>
      </c>
      <c r="E14" s="483">
        <v>266710.50275235699</v>
      </c>
      <c r="F14" s="482">
        <v>11174.863541469867</v>
      </c>
      <c r="G14" s="482">
        <v>7030.1908296908168</v>
      </c>
      <c r="H14" s="483">
        <v>18205.054371160684</v>
      </c>
      <c r="I14" s="483">
        <v>26897</v>
      </c>
      <c r="J14" s="483">
        <v>45102.054371160681</v>
      </c>
    </row>
    <row r="15" spans="1:10" ht="11.25">
      <c r="A15" s="234" t="s">
        <v>241</v>
      </c>
      <c r="B15" s="481" t="s">
        <v>244</v>
      </c>
      <c r="C15" s="482">
        <v>188913</v>
      </c>
      <c r="D15" s="482">
        <v>77797.502752356988</v>
      </c>
      <c r="E15" s="483">
        <v>266710.50275235699</v>
      </c>
      <c r="F15" s="482">
        <v>11174.863541469867</v>
      </c>
      <c r="G15" s="482">
        <v>7030.1908296908168</v>
      </c>
      <c r="H15" s="483">
        <v>18205.054371160684</v>
      </c>
      <c r="I15" s="483">
        <v>26897</v>
      </c>
      <c r="J15" s="483">
        <v>45102.054371160681</v>
      </c>
    </row>
    <row r="16" spans="1:10" ht="11.25">
      <c r="A16" s="234" t="s">
        <v>242</v>
      </c>
      <c r="B16" s="481" t="s">
        <v>244</v>
      </c>
      <c r="C16" s="482">
        <v>188913</v>
      </c>
      <c r="D16" s="482">
        <v>77797.502752356988</v>
      </c>
      <c r="E16" s="483">
        <v>266710.50275235699</v>
      </c>
      <c r="F16" s="482">
        <v>11174.863541469867</v>
      </c>
      <c r="G16" s="482">
        <v>7030.1908296908168</v>
      </c>
      <c r="H16" s="483">
        <v>18205.054371160684</v>
      </c>
      <c r="I16" s="483">
        <v>26897</v>
      </c>
      <c r="J16" s="483">
        <v>45102.054371160681</v>
      </c>
    </row>
    <row r="17" spans="1:10" ht="11.25">
      <c r="A17" s="234" t="s">
        <v>243</v>
      </c>
      <c r="B17" s="481" t="s">
        <v>244</v>
      </c>
      <c r="C17" s="482">
        <v>188913</v>
      </c>
      <c r="D17" s="482">
        <v>77797.502752356988</v>
      </c>
      <c r="E17" s="483">
        <v>266710.50275235699</v>
      </c>
      <c r="F17" s="482">
        <v>11174.863541469867</v>
      </c>
      <c r="G17" s="482">
        <v>7030.1908296908168</v>
      </c>
      <c r="H17" s="483">
        <v>18205.054371160684</v>
      </c>
      <c r="I17" s="483">
        <v>26897</v>
      </c>
      <c r="J17" s="483">
        <v>45102.054371160681</v>
      </c>
    </row>
    <row r="19" spans="1:10" ht="11.25">
      <c r="B19" s="401"/>
      <c r="G19" s="40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Sheet10">
    <tabColor theme="2" tint="-0.499984740745262"/>
    <pageSetUpPr fitToPage="1"/>
  </sheetPr>
  <dimension ref="A1:K41"/>
  <sheetViews>
    <sheetView zoomScale="85" workbookViewId="0">
      <selection activeCell="J29" sqref="J29"/>
    </sheetView>
  </sheetViews>
  <sheetFormatPr defaultColWidth="12" defaultRowHeight="12.75"/>
  <cols>
    <col min="1" max="1" width="3.1640625" style="1" customWidth="1"/>
    <col min="2" max="2" width="65.33203125" style="1" customWidth="1"/>
    <col min="3" max="3" width="13.6640625" style="1" customWidth="1"/>
    <col min="4" max="4" width="17" style="1" customWidth="1"/>
    <col min="5" max="5" width="26" style="1" customWidth="1"/>
    <col min="6" max="6" width="15.83203125" style="1" customWidth="1"/>
    <col min="7" max="7" width="15" style="1" customWidth="1"/>
    <col min="8" max="8" width="14.6640625" style="1" customWidth="1"/>
    <col min="9" max="9" width="11.6640625" style="1" customWidth="1"/>
    <col min="10" max="10" width="12" style="1" customWidth="1"/>
    <col min="11" max="11" width="10.6640625" style="1" customWidth="1"/>
    <col min="12" max="12" width="20" style="1" customWidth="1"/>
    <col min="13" max="13" width="40.6640625" style="1" customWidth="1"/>
    <col min="14" max="14" width="13.1640625" style="1" customWidth="1"/>
    <col min="15" max="15" width="12" style="1" customWidth="1"/>
    <col min="16" max="16" width="15.1640625" style="1" customWidth="1"/>
    <col min="17" max="17" width="13.33203125" style="1" customWidth="1"/>
    <col min="18" max="16384" width="12" style="1"/>
  </cols>
  <sheetData>
    <row r="1" spans="1:11" ht="20.25">
      <c r="A1" s="490" t="s">
        <v>354</v>
      </c>
    </row>
    <row r="7" spans="1:11">
      <c r="A7" s="4"/>
      <c r="B7" s="2" t="s">
        <v>77</v>
      </c>
      <c r="C7" s="3"/>
      <c r="D7" s="3"/>
      <c r="E7" s="3"/>
      <c r="F7"/>
      <c r="G7"/>
      <c r="H7"/>
      <c r="I7"/>
      <c r="K7" s="11"/>
    </row>
    <row r="8" spans="1:11">
      <c r="A8" s="4"/>
      <c r="B8" s="2" t="s">
        <v>78</v>
      </c>
      <c r="C8" s="3">
        <v>11</v>
      </c>
      <c r="D8" s="3">
        <v>1</v>
      </c>
      <c r="E8" s="3">
        <f>C8*D8</f>
        <v>11</v>
      </c>
      <c r="F8"/>
      <c r="G8"/>
      <c r="H8"/>
      <c r="I8"/>
      <c r="K8" s="11"/>
    </row>
    <row r="9" spans="1:11">
      <c r="B9" s="12"/>
    </row>
    <row r="10" spans="1:11">
      <c r="A10" s="24" t="s">
        <v>72</v>
      </c>
    </row>
    <row r="11" spans="1:11">
      <c r="A11" s="5" t="s">
        <v>79</v>
      </c>
      <c r="B11" s="6"/>
    </row>
    <row r="12" spans="1:11">
      <c r="A12" s="5" t="s">
        <v>108</v>
      </c>
    </row>
    <row r="13" spans="1:11">
      <c r="A13" s="5"/>
    </row>
    <row r="14" spans="1:11">
      <c r="A14" s="7" t="s">
        <v>73</v>
      </c>
    </row>
    <row r="15" spans="1:11">
      <c r="A15" s="8" t="s">
        <v>80</v>
      </c>
    </row>
    <row r="16" spans="1:11">
      <c r="A16" s="9" t="s">
        <v>81</v>
      </c>
    </row>
    <row r="17" spans="1:10">
      <c r="B17" s="9"/>
      <c r="C17" s="9"/>
      <c r="D17" s="9"/>
      <c r="E17" s="9"/>
      <c r="F17" s="9"/>
      <c r="G17" s="9"/>
    </row>
    <row r="18" spans="1:10">
      <c r="G18" s="9"/>
    </row>
    <row r="19" spans="1:10">
      <c r="G19" s="9"/>
    </row>
    <row r="21" spans="1:10" ht="48" customHeight="1">
      <c r="B21" s="550" t="s">
        <v>170</v>
      </c>
      <c r="C21" s="550"/>
      <c r="D21" s="550"/>
      <c r="E21" s="550"/>
      <c r="F21" s="14"/>
      <c r="G21" s="14"/>
      <c r="H21" s="14"/>
      <c r="I21" s="14"/>
    </row>
    <row r="22" spans="1:10" ht="33.75">
      <c r="B22" s="202" t="s">
        <v>119</v>
      </c>
      <c r="C22" s="203" t="s">
        <v>106</v>
      </c>
      <c r="D22" s="203" t="s">
        <v>120</v>
      </c>
      <c r="E22" s="203" t="s">
        <v>121</v>
      </c>
      <c r="F22" s="15"/>
      <c r="G22" s="14"/>
      <c r="H22" s="14"/>
      <c r="I22" s="14"/>
    </row>
    <row r="23" spans="1:10" ht="17.25" customHeight="1">
      <c r="B23" s="204" t="s">
        <v>133</v>
      </c>
      <c r="C23" s="205" t="s">
        <v>122</v>
      </c>
      <c r="D23" s="206">
        <v>54.52</v>
      </c>
      <c r="E23" s="26">
        <f>D23+1.1*D23</f>
        <v>114.49200000000002</v>
      </c>
      <c r="F23" s="15"/>
      <c r="G23" s="14"/>
      <c r="H23" s="14"/>
      <c r="I23" s="14"/>
    </row>
    <row r="24" spans="1:10" ht="19.5" customHeight="1">
      <c r="B24" s="204" t="s">
        <v>40</v>
      </c>
      <c r="C24" s="205" t="s">
        <v>123</v>
      </c>
      <c r="D24" s="206">
        <v>46.76</v>
      </c>
      <c r="E24" s="26">
        <f>D24+1.1*D24</f>
        <v>98.195999999999998</v>
      </c>
      <c r="F24" s="15"/>
      <c r="G24" s="14"/>
      <c r="H24" s="14"/>
      <c r="I24" s="14"/>
    </row>
    <row r="25" spans="1:10" ht="15.75" customHeight="1">
      <c r="B25" s="204" t="s">
        <v>7</v>
      </c>
      <c r="C25" s="205" t="s">
        <v>124</v>
      </c>
      <c r="D25" s="206">
        <v>23.11</v>
      </c>
      <c r="E25" s="26">
        <f>D25+1.1*D25</f>
        <v>48.531000000000006</v>
      </c>
      <c r="F25" s="15"/>
      <c r="G25" s="14"/>
      <c r="H25" s="14"/>
      <c r="I25" s="14"/>
    </row>
    <row r="26" spans="1:10">
      <c r="B26" s="207" t="s">
        <v>125</v>
      </c>
      <c r="C26" s="208"/>
      <c r="D26" s="209"/>
      <c r="E26" s="26">
        <f>E24+0.1*E25+0.05*E23</f>
        <v>108.77369999999999</v>
      </c>
      <c r="F26" s="15"/>
      <c r="G26" s="14"/>
      <c r="H26" s="14"/>
      <c r="I26" s="14"/>
    </row>
    <row r="27" spans="1:10">
      <c r="B27" s="207" t="s">
        <v>126</v>
      </c>
      <c r="C27" s="208"/>
      <c r="D27" s="209"/>
      <c r="E27" s="26">
        <v>80</v>
      </c>
      <c r="F27" s="15"/>
      <c r="G27" s="14"/>
      <c r="H27" s="14"/>
      <c r="I27" s="14"/>
    </row>
    <row r="28" spans="1:10">
      <c r="B28" s="16"/>
      <c r="C28" s="17"/>
      <c r="D28" s="18"/>
      <c r="E28" s="19"/>
      <c r="F28" s="20"/>
      <c r="G28" s="15"/>
      <c r="H28" s="14"/>
      <c r="I28" s="14"/>
      <c r="J28" s="14"/>
    </row>
    <row r="29" spans="1:10">
      <c r="B29" s="21" t="s">
        <v>127</v>
      </c>
      <c r="C29" s="17"/>
      <c r="D29" s="18"/>
      <c r="E29" s="19"/>
      <c r="F29" s="20"/>
      <c r="G29" s="15"/>
      <c r="H29" s="14"/>
      <c r="I29" s="14"/>
      <c r="J29" s="14"/>
    </row>
    <row r="30" spans="1:10">
      <c r="B30" s="16"/>
      <c r="C30" s="17"/>
      <c r="D30" s="18"/>
      <c r="E30" s="19"/>
      <c r="F30" s="20"/>
      <c r="G30" s="15"/>
      <c r="H30" s="14"/>
      <c r="I30" s="14"/>
      <c r="J30" s="14"/>
    </row>
    <row r="31" spans="1:10">
      <c r="B31" s="12"/>
      <c r="C31" s="12"/>
      <c r="D31" s="12"/>
      <c r="E31" s="12"/>
      <c r="F31" s="12"/>
      <c r="G31" s="12"/>
    </row>
    <row r="32" spans="1:10">
      <c r="A32" s="10"/>
      <c r="B32" s="12"/>
      <c r="C32" s="12"/>
      <c r="D32" s="12"/>
      <c r="E32" s="12"/>
      <c r="F32" s="12"/>
      <c r="G32" s="12"/>
    </row>
    <row r="33" spans="2:7" ht="13.5" thickBot="1">
      <c r="B33" s="210" t="s">
        <v>5</v>
      </c>
      <c r="C33" s="12"/>
      <c r="D33" s="12"/>
      <c r="E33" s="12"/>
      <c r="F33" s="12"/>
      <c r="G33" s="12"/>
    </row>
    <row r="34" spans="2:7" ht="39" thickBot="1">
      <c r="B34" s="211"/>
      <c r="C34" s="212" t="s">
        <v>85</v>
      </c>
      <c r="D34" s="213" t="s">
        <v>86</v>
      </c>
      <c r="E34" s="13"/>
      <c r="F34" s="12"/>
      <c r="G34" s="12"/>
    </row>
    <row r="35" spans="2:7">
      <c r="B35" s="214" t="s">
        <v>110</v>
      </c>
      <c r="C35" s="214">
        <v>28.88</v>
      </c>
      <c r="D35" s="27">
        <f>C35*1.6</f>
        <v>46.207999999999998</v>
      </c>
      <c r="E35" s="12"/>
      <c r="F35" s="12"/>
      <c r="G35" s="12"/>
    </row>
    <row r="36" spans="2:7">
      <c r="B36" s="215" t="s">
        <v>109</v>
      </c>
      <c r="C36" s="215">
        <v>38.92</v>
      </c>
      <c r="D36" s="28">
        <f>C36*1.6</f>
        <v>62.272000000000006</v>
      </c>
      <c r="E36" s="12"/>
      <c r="F36" s="12"/>
      <c r="G36" s="12"/>
    </row>
    <row r="37" spans="2:7">
      <c r="B37" s="216" t="s">
        <v>111</v>
      </c>
      <c r="C37" s="216">
        <v>15.63</v>
      </c>
      <c r="D37" s="28">
        <f>C37*1.6</f>
        <v>25.008000000000003</v>
      </c>
      <c r="E37" s="12"/>
      <c r="F37" s="9"/>
      <c r="G37" s="9"/>
    </row>
    <row r="38" spans="2:7">
      <c r="C38" s="9"/>
      <c r="D38" s="9"/>
      <c r="E38" s="9"/>
      <c r="F38" s="9"/>
      <c r="G38" s="9"/>
    </row>
    <row r="40" spans="2:7">
      <c r="B40" s="1" t="s">
        <v>89</v>
      </c>
    </row>
    <row r="41" spans="2:7">
      <c r="B41" s="1" t="s">
        <v>88</v>
      </c>
    </row>
  </sheetData>
  <mergeCells count="1">
    <mergeCell ref="B21:E21"/>
  </mergeCells>
  <phoneticPr fontId="6" type="noConversion"/>
  <pageMargins left="0.25" right="0.25" top="0.25" bottom="0.25" header="0.5" footer="0.5"/>
  <pageSetup scale="8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transitionEvaluation="1" codeName="Sheet13">
    <pageSetUpPr fitToPage="1"/>
  </sheetPr>
  <dimension ref="A1:AE90"/>
  <sheetViews>
    <sheetView showGridLines="0" zoomScaleNormal="100" zoomScaleSheetLayoutView="85" workbookViewId="0">
      <pane ySplit="12" topLeftCell="A13" activePane="bottomLeft" state="frozenSplit"/>
      <selection activeCell="A22" sqref="A22:XFD22"/>
      <selection pane="bottomLeft" activeCell="D1" sqref="D1:D2"/>
    </sheetView>
  </sheetViews>
  <sheetFormatPr defaultColWidth="9.83203125" defaultRowHeight="11.25"/>
  <cols>
    <col min="1" max="3" width="3.6640625" style="45" customWidth="1"/>
    <col min="4" max="4" width="65.5" style="45" customWidth="1"/>
    <col min="5" max="5" width="12.33203125" style="162" customWidth="1"/>
    <col min="6" max="6" width="12.5" style="162" bestFit="1" customWidth="1"/>
    <col min="7" max="7" width="11.83203125" style="162" bestFit="1" customWidth="1"/>
    <col min="8" max="8" width="12.1640625" style="162" customWidth="1"/>
    <col min="9" max="9" width="11.83203125" style="162" bestFit="1" customWidth="1"/>
    <col min="10" max="10" width="8.83203125" style="162" bestFit="1" customWidth="1"/>
    <col min="11" max="11" width="11.33203125" style="162" bestFit="1" customWidth="1"/>
    <col min="12" max="12" width="8.6640625" style="162" bestFit="1" customWidth="1"/>
    <col min="13" max="13" width="12.6640625" style="162" bestFit="1" customWidth="1"/>
    <col min="14" max="14" width="14.1640625" style="162" bestFit="1" customWidth="1"/>
    <col min="15" max="15" width="10.33203125" style="162" bestFit="1" customWidth="1"/>
    <col min="16" max="16" width="5.1640625" style="162" bestFit="1" customWidth="1"/>
    <col min="17" max="17" width="10.6640625" style="162" customWidth="1"/>
    <col min="18" max="16384" width="9.83203125" style="45"/>
  </cols>
  <sheetData>
    <row r="1" spans="1:31" ht="14.25">
      <c r="D1" s="392"/>
    </row>
    <row r="2" spans="1:31" ht="14.25">
      <c r="D2" s="470"/>
    </row>
    <row r="3" spans="1:31" ht="14.25">
      <c r="D3" s="507"/>
    </row>
    <row r="5" spans="1:31" ht="16.5" customHeight="1">
      <c r="A5" s="519" t="s">
        <v>206</v>
      </c>
      <c r="B5" s="519"/>
      <c r="C5" s="519"/>
      <c r="D5" s="519"/>
      <c r="E5" s="519"/>
      <c r="F5" s="519"/>
      <c r="G5" s="519"/>
      <c r="H5" s="519"/>
      <c r="I5" s="519"/>
      <c r="J5" s="519"/>
      <c r="K5" s="519"/>
      <c r="L5" s="519"/>
      <c r="M5" s="519"/>
      <c r="N5" s="519"/>
      <c r="O5" s="519"/>
      <c r="P5" s="519"/>
      <c r="Q5" s="519"/>
      <c r="S5" s="50"/>
      <c r="T5" s="50"/>
      <c r="U5" s="50"/>
      <c r="V5" s="50"/>
      <c r="W5" s="50"/>
      <c r="X5" s="50"/>
      <c r="Y5" s="50"/>
      <c r="Z5" s="50"/>
      <c r="AA5" s="50"/>
      <c r="AB5" s="50"/>
      <c r="AC5" s="50"/>
      <c r="AD5" s="50"/>
      <c r="AE5" s="50"/>
    </row>
    <row r="6" spans="1:31" ht="15" customHeight="1" thickBot="1">
      <c r="A6" s="519" t="s">
        <v>297</v>
      </c>
      <c r="B6" s="519"/>
      <c r="C6" s="519"/>
      <c r="D6" s="519"/>
      <c r="E6" s="519"/>
      <c r="F6" s="519"/>
      <c r="G6" s="519"/>
      <c r="H6" s="519"/>
      <c r="I6" s="519"/>
      <c r="J6" s="519"/>
      <c r="K6" s="519"/>
      <c r="L6" s="519"/>
      <c r="M6" s="519"/>
      <c r="N6" s="519"/>
      <c r="O6" s="519"/>
      <c r="P6" s="519"/>
      <c r="Q6" s="519"/>
    </row>
    <row r="7" spans="1:31" ht="10.9" customHeight="1">
      <c r="A7" s="51"/>
      <c r="B7" s="52"/>
      <c r="C7" s="52"/>
      <c r="D7" s="53"/>
      <c r="E7" s="54" t="s">
        <v>37</v>
      </c>
      <c r="F7" s="456" t="s">
        <v>0</v>
      </c>
      <c r="G7" s="457" t="s">
        <v>1</v>
      </c>
      <c r="H7" s="457" t="s">
        <v>2</v>
      </c>
      <c r="I7" s="458" t="s">
        <v>3</v>
      </c>
      <c r="J7" s="458" t="s">
        <v>4</v>
      </c>
      <c r="K7" s="458" t="s">
        <v>38</v>
      </c>
      <c r="L7" s="459" t="s">
        <v>301</v>
      </c>
      <c r="M7" s="55"/>
      <c r="N7" s="54"/>
      <c r="O7" s="54"/>
      <c r="P7" s="520" t="s">
        <v>43</v>
      </c>
      <c r="Q7" s="45"/>
    </row>
    <row r="8" spans="1:31" ht="10.9" customHeight="1">
      <c r="A8" s="56"/>
      <c r="B8" s="57"/>
      <c r="C8" s="57"/>
      <c r="D8" s="46"/>
      <c r="E8" s="58" t="s">
        <v>47</v>
      </c>
      <c r="F8" s="455" t="s">
        <v>62</v>
      </c>
      <c r="G8" s="59" t="s">
        <v>39</v>
      </c>
      <c r="H8" s="59" t="s">
        <v>9</v>
      </c>
      <c r="I8" s="58" t="s">
        <v>39</v>
      </c>
      <c r="J8" s="58" t="s">
        <v>40</v>
      </c>
      <c r="K8" s="58" t="s">
        <v>6</v>
      </c>
      <c r="L8" s="61" t="s">
        <v>7</v>
      </c>
      <c r="M8" s="61" t="s">
        <v>41</v>
      </c>
      <c r="N8" s="58" t="s">
        <v>42</v>
      </c>
      <c r="O8" s="58" t="s">
        <v>42</v>
      </c>
      <c r="P8" s="521"/>
      <c r="Q8" s="45"/>
    </row>
    <row r="9" spans="1:31" ht="10.9" customHeight="1">
      <c r="A9" s="56"/>
      <c r="B9" s="57"/>
      <c r="C9" s="57"/>
      <c r="D9" s="46"/>
      <c r="E9" s="58" t="s">
        <v>64</v>
      </c>
      <c r="F9" s="60" t="s">
        <v>63</v>
      </c>
      <c r="G9" s="59" t="s">
        <v>8</v>
      </c>
      <c r="H9" s="59" t="s">
        <v>10</v>
      </c>
      <c r="I9" s="58" t="s">
        <v>44</v>
      </c>
      <c r="J9" s="58" t="s">
        <v>9</v>
      </c>
      <c r="K9" s="58" t="s">
        <v>9</v>
      </c>
      <c r="L9" s="61" t="s">
        <v>9</v>
      </c>
      <c r="M9" s="61" t="s">
        <v>45</v>
      </c>
      <c r="N9" s="58" t="s">
        <v>62</v>
      </c>
      <c r="O9" s="58" t="s">
        <v>84</v>
      </c>
      <c r="P9" s="521"/>
      <c r="Q9" s="45"/>
    </row>
    <row r="10" spans="1:31" ht="10.9" customHeight="1">
      <c r="A10" s="56"/>
      <c r="B10" s="57"/>
      <c r="C10" s="57"/>
      <c r="D10" s="46"/>
      <c r="E10" s="58" t="s">
        <v>12</v>
      </c>
      <c r="F10" s="60" t="s">
        <v>10</v>
      </c>
      <c r="G10" s="59" t="s">
        <v>10</v>
      </c>
      <c r="H10" s="59" t="s">
        <v>47</v>
      </c>
      <c r="I10" s="58" t="s">
        <v>11</v>
      </c>
      <c r="J10" s="58" t="s">
        <v>11</v>
      </c>
      <c r="K10" s="58" t="s">
        <v>11</v>
      </c>
      <c r="L10" s="61" t="s">
        <v>11</v>
      </c>
      <c r="M10" s="61" t="s">
        <v>11</v>
      </c>
      <c r="N10" s="58" t="s">
        <v>63</v>
      </c>
      <c r="O10" s="58" t="s">
        <v>11</v>
      </c>
      <c r="P10" s="521"/>
      <c r="Q10" s="45"/>
    </row>
    <row r="11" spans="1:31" ht="10.9" customHeight="1">
      <c r="A11" s="62"/>
      <c r="B11" s="46"/>
      <c r="C11" s="46"/>
      <c r="D11" s="46"/>
      <c r="E11" s="58" t="s">
        <v>46</v>
      </c>
      <c r="F11" s="60" t="s">
        <v>12</v>
      </c>
      <c r="G11" s="59" t="s">
        <v>47</v>
      </c>
      <c r="H11" s="59" t="s">
        <v>11</v>
      </c>
      <c r="I11" s="226"/>
      <c r="J11" s="63"/>
      <c r="K11" s="63"/>
      <c r="L11" s="64"/>
      <c r="M11" s="65"/>
      <c r="N11" s="58" t="s">
        <v>11</v>
      </c>
      <c r="O11" s="58"/>
      <c r="P11" s="521"/>
      <c r="Q11" s="45"/>
    </row>
    <row r="12" spans="1:31" ht="10.9" customHeight="1" thickBot="1">
      <c r="A12" s="66" t="s">
        <v>13</v>
      </c>
      <c r="B12" s="67"/>
      <c r="C12" s="67"/>
      <c r="D12" s="67"/>
      <c r="E12" s="68" t="s">
        <v>48</v>
      </c>
      <c r="F12" s="70"/>
      <c r="G12" s="69" t="s">
        <v>11</v>
      </c>
      <c r="H12" s="461" t="s">
        <v>302</v>
      </c>
      <c r="I12" s="68"/>
      <c r="J12" s="460" t="s">
        <v>305</v>
      </c>
      <c r="K12" s="460" t="s">
        <v>303</v>
      </c>
      <c r="L12" s="462" t="s">
        <v>304</v>
      </c>
      <c r="M12" s="71"/>
      <c r="N12" s="68"/>
      <c r="O12" s="68"/>
      <c r="P12" s="522"/>
      <c r="Q12" s="45"/>
    </row>
    <row r="13" spans="1:31" ht="15" customHeight="1">
      <c r="A13" s="72" t="s">
        <v>14</v>
      </c>
      <c r="B13" s="73" t="s">
        <v>15</v>
      </c>
      <c r="C13" s="74"/>
      <c r="D13" s="74"/>
      <c r="E13" s="75" t="s">
        <v>129</v>
      </c>
      <c r="F13" s="76"/>
      <c r="G13" s="77"/>
      <c r="H13" s="78">
        <f>E13*$G13</f>
        <v>0</v>
      </c>
      <c r="I13" s="79">
        <v>55</v>
      </c>
      <c r="J13" s="80"/>
      <c r="K13" s="80"/>
      <c r="L13" s="81"/>
      <c r="M13" s="82">
        <f>J13*33+K13*49+L13*15</f>
        <v>0</v>
      </c>
      <c r="N13" s="83"/>
      <c r="O13" s="84"/>
      <c r="P13" s="85"/>
      <c r="Q13" s="45"/>
    </row>
    <row r="14" spans="1:31" ht="15" customHeight="1">
      <c r="A14" s="88" t="s">
        <v>17</v>
      </c>
      <c r="B14" s="30" t="s">
        <v>49</v>
      </c>
      <c r="C14" s="95"/>
      <c r="D14" s="95"/>
      <c r="E14" s="183" t="s">
        <v>129</v>
      </c>
      <c r="F14" s="184"/>
      <c r="G14" s="89"/>
      <c r="H14" s="91">
        <f>E14*$G14</f>
        <v>0</v>
      </c>
      <c r="I14" s="185"/>
      <c r="J14" s="186"/>
      <c r="K14" s="186"/>
      <c r="L14" s="187">
        <f t="shared" ref="L14:L17" si="0">J14*0.1</f>
        <v>0</v>
      </c>
      <c r="M14" s="90">
        <f>J14*33+K14*49+L14*15</f>
        <v>0</v>
      </c>
      <c r="N14" s="91"/>
      <c r="O14" s="92"/>
      <c r="P14" s="93" t="s">
        <v>23</v>
      </c>
      <c r="Q14" s="45"/>
    </row>
    <row r="15" spans="1:31" ht="15" customHeight="1">
      <c r="A15" s="219" t="s">
        <v>20</v>
      </c>
      <c r="B15" s="172" t="s">
        <v>50</v>
      </c>
      <c r="C15" s="168"/>
      <c r="D15" s="168"/>
      <c r="E15" s="190"/>
      <c r="F15" s="190"/>
      <c r="G15" s="180"/>
      <c r="H15" s="191">
        <f>E15*$G15</f>
        <v>0</v>
      </c>
      <c r="I15" s="192"/>
      <c r="J15" s="191">
        <f t="shared" ref="J15:J17" si="1">H15*I15</f>
        <v>0</v>
      </c>
      <c r="K15" s="191">
        <f t="shared" ref="K15:K17" si="2">J15*0.05</f>
        <v>0</v>
      </c>
      <c r="L15" s="191">
        <f t="shared" si="0"/>
        <v>0</v>
      </c>
      <c r="M15" s="191">
        <f>J15*33+K15*49+L15*15</f>
        <v>0</v>
      </c>
      <c r="N15" s="191" t="s">
        <v>23</v>
      </c>
      <c r="O15" s="193"/>
      <c r="P15" s="220"/>
      <c r="Q15" s="45"/>
    </row>
    <row r="16" spans="1:31" ht="15" customHeight="1">
      <c r="A16" s="219"/>
      <c r="B16" s="173" t="s">
        <v>22</v>
      </c>
      <c r="C16" s="172" t="s">
        <v>18</v>
      </c>
      <c r="D16" s="168"/>
      <c r="E16" s="190">
        <v>25</v>
      </c>
      <c r="F16" s="110">
        <v>100</v>
      </c>
      <c r="G16" s="189">
        <v>1</v>
      </c>
      <c r="H16" s="189">
        <f>E16*$G16</f>
        <v>25</v>
      </c>
      <c r="I16" s="194">
        <v>15</v>
      </c>
      <c r="J16" s="195">
        <f t="shared" si="1"/>
        <v>375</v>
      </c>
      <c r="K16" s="195">
        <f t="shared" si="2"/>
        <v>18.75</v>
      </c>
      <c r="L16" s="195">
        <f t="shared" si="0"/>
        <v>37.5</v>
      </c>
      <c r="M16" s="110">
        <f>J16*'Hourly Rates'!$E$24+K16*'Hourly Rates'!$E$23+L16*'Hourly Rates'!$E$25</f>
        <v>40790.137499999997</v>
      </c>
      <c r="N16" s="110">
        <f>F16*G16*I16</f>
        <v>1500</v>
      </c>
      <c r="O16" s="193">
        <v>0</v>
      </c>
      <c r="P16" s="258" t="s">
        <v>298</v>
      </c>
      <c r="Q16" s="45"/>
    </row>
    <row r="17" spans="1:20" ht="15" customHeight="1">
      <c r="A17" s="222"/>
      <c r="B17" s="173" t="s">
        <v>24</v>
      </c>
      <c r="C17" s="172" t="s">
        <v>21</v>
      </c>
      <c r="D17" s="168"/>
      <c r="E17" s="190"/>
      <c r="F17" s="196"/>
      <c r="G17" s="180"/>
      <c r="H17" s="180"/>
      <c r="I17" s="194"/>
      <c r="J17" s="191">
        <f t="shared" si="1"/>
        <v>0</v>
      </c>
      <c r="K17" s="191">
        <f t="shared" si="2"/>
        <v>0</v>
      </c>
      <c r="L17" s="191">
        <f t="shared" si="0"/>
        <v>0</v>
      </c>
      <c r="M17" s="110"/>
      <c r="N17" s="191"/>
      <c r="O17" s="193"/>
      <c r="P17" s="220"/>
      <c r="Q17" s="45"/>
      <c r="T17" s="96"/>
    </row>
    <row r="18" spans="1:20" ht="15" customHeight="1">
      <c r="A18" s="222"/>
      <c r="B18" s="176"/>
      <c r="C18" s="175" t="s">
        <v>174</v>
      </c>
      <c r="D18" s="170"/>
      <c r="E18" s="190"/>
      <c r="F18" s="196"/>
      <c r="G18" s="180"/>
      <c r="H18" s="180"/>
      <c r="I18" s="194"/>
      <c r="J18" s="191">
        <f t="shared" ref="J18" si="3">H18*I18</f>
        <v>0</v>
      </c>
      <c r="K18" s="191">
        <f t="shared" ref="K18" si="4">J18*0.05</f>
        <v>0</v>
      </c>
      <c r="L18" s="191">
        <f t="shared" ref="L18" si="5">J18*0.1</f>
        <v>0</v>
      </c>
      <c r="M18" s="110"/>
      <c r="N18" s="191"/>
      <c r="O18" s="193"/>
      <c r="P18" s="220"/>
      <c r="Q18" s="45"/>
      <c r="T18" s="98"/>
    </row>
    <row r="19" spans="1:20" ht="15" customHeight="1">
      <c r="A19" s="222"/>
      <c r="B19" s="176"/>
      <c r="C19" s="175"/>
      <c r="D19" s="262" t="s">
        <v>249</v>
      </c>
      <c r="E19" s="181">
        <v>32</v>
      </c>
      <c r="F19" s="466">
        <f>'Process Vent - T&amp;M Costs'!D23</f>
        <v>51197.739030465607</v>
      </c>
      <c r="G19" s="189">
        <v>1</v>
      </c>
      <c r="H19" s="189">
        <f>E19*$G19</f>
        <v>32</v>
      </c>
      <c r="I19" s="197">
        <v>14</v>
      </c>
      <c r="J19" s="195">
        <f>H19*I19</f>
        <v>448</v>
      </c>
      <c r="K19" s="195">
        <f>J19*0.05</f>
        <v>22.400000000000002</v>
      </c>
      <c r="L19" s="195">
        <f>J19*0.1</f>
        <v>44.800000000000004</v>
      </c>
      <c r="M19" s="110">
        <f>J19*'Hourly Rates'!$E$24+K19*'Hourly Rates'!$E$23+L19*'Hourly Rates'!$E$25</f>
        <v>48730.617599999998</v>
      </c>
      <c r="N19" s="110">
        <f>F19*G19*I19</f>
        <v>716768.34642651852</v>
      </c>
      <c r="O19" s="193">
        <v>0</v>
      </c>
      <c r="P19" s="258" t="s">
        <v>107</v>
      </c>
      <c r="Q19" s="45"/>
      <c r="T19" s="98"/>
    </row>
    <row r="20" spans="1:20" ht="15" customHeight="1">
      <c r="A20" s="222"/>
      <c r="B20" s="176"/>
      <c r="C20" s="175"/>
      <c r="D20" s="403" t="s">
        <v>250</v>
      </c>
      <c r="E20" s="181">
        <v>2</v>
      </c>
      <c r="F20" s="466">
        <f>'Resin T&amp;M Costs'!E10</f>
        <v>1803</v>
      </c>
      <c r="G20" s="189">
        <v>1</v>
      </c>
      <c r="H20" s="189">
        <f>E20*$G20</f>
        <v>2</v>
      </c>
      <c r="I20" s="194">
        <v>18</v>
      </c>
      <c r="J20" s="195">
        <f t="shared" ref="J20:J30" si="6">H20*I20</f>
        <v>36</v>
      </c>
      <c r="K20" s="195">
        <f t="shared" ref="K20:K30" si="7">J20*0.05</f>
        <v>1.8</v>
      </c>
      <c r="L20" s="195">
        <f t="shared" ref="L20:L23" si="8">J20*0.1</f>
        <v>3.6</v>
      </c>
      <c r="M20" s="110">
        <f>J20*'Hourly Rates'!$E$24+K20*'Hourly Rates'!$E$23+L20*'Hourly Rates'!$E$25</f>
        <v>3915.8532</v>
      </c>
      <c r="N20" s="110">
        <f t="shared" ref="N20:N22" si="9">F20*G20*I20</f>
        <v>32454</v>
      </c>
      <c r="O20" s="193">
        <v>0</v>
      </c>
      <c r="P20" s="258" t="s">
        <v>299</v>
      </c>
      <c r="Q20" s="45"/>
      <c r="T20" s="98"/>
    </row>
    <row r="21" spans="1:20" ht="15" customHeight="1">
      <c r="A21" s="222"/>
      <c r="B21" s="176"/>
      <c r="C21" s="175"/>
      <c r="D21" s="403" t="s">
        <v>263</v>
      </c>
      <c r="E21" s="181">
        <v>2</v>
      </c>
      <c r="F21" s="466">
        <v>491</v>
      </c>
      <c r="G21" s="189">
        <v>1</v>
      </c>
      <c r="H21" s="189">
        <f>E21*$G21</f>
        <v>2</v>
      </c>
      <c r="I21" s="194">
        <v>57</v>
      </c>
      <c r="J21" s="195">
        <f t="shared" si="6"/>
        <v>114</v>
      </c>
      <c r="K21" s="195">
        <f t="shared" si="7"/>
        <v>5.7</v>
      </c>
      <c r="L21" s="195">
        <f t="shared" si="8"/>
        <v>11.4</v>
      </c>
      <c r="M21" s="110">
        <f>J21*'Hourly Rates'!$E$24+K21*'Hourly Rates'!$E$23+L21*'Hourly Rates'!$E$25</f>
        <v>12400.201799999999</v>
      </c>
      <c r="N21" s="110">
        <f t="shared" si="9"/>
        <v>27987</v>
      </c>
      <c r="O21" s="193">
        <v>0</v>
      </c>
      <c r="P21" s="258" t="s">
        <v>306</v>
      </c>
      <c r="Q21" s="45"/>
      <c r="T21" s="98"/>
    </row>
    <row r="22" spans="1:20" ht="15" customHeight="1">
      <c r="A22" s="222"/>
      <c r="B22" s="176"/>
      <c r="C22" s="175"/>
      <c r="D22" s="403" t="s">
        <v>287</v>
      </c>
      <c r="E22" s="438">
        <v>0</v>
      </c>
      <c r="F22" s="466">
        <v>0</v>
      </c>
      <c r="G22" s="189">
        <v>0</v>
      </c>
      <c r="H22" s="189">
        <f>E22*$G22</f>
        <v>0</v>
      </c>
      <c r="I22" s="194">
        <v>23</v>
      </c>
      <c r="J22" s="195">
        <f t="shared" si="6"/>
        <v>0</v>
      </c>
      <c r="K22" s="195">
        <f t="shared" si="7"/>
        <v>0</v>
      </c>
      <c r="L22" s="195">
        <f t="shared" si="8"/>
        <v>0</v>
      </c>
      <c r="M22" s="110">
        <f>J22*'Hourly Rates'!$E$24+K22*'Hourly Rates'!$E$23+L22*'Hourly Rates'!$E$25</f>
        <v>0</v>
      </c>
      <c r="N22" s="110">
        <f t="shared" si="9"/>
        <v>0</v>
      </c>
      <c r="O22" s="193">
        <v>0</v>
      </c>
      <c r="P22" s="258" t="s">
        <v>228</v>
      </c>
      <c r="Q22" s="45"/>
      <c r="T22" s="98"/>
    </row>
    <row r="23" spans="1:20" ht="15" customHeight="1">
      <c r="A23" s="222"/>
      <c r="B23" s="176"/>
      <c r="C23" s="175"/>
      <c r="D23" s="403" t="s">
        <v>288</v>
      </c>
      <c r="E23" s="454">
        <v>2</v>
      </c>
      <c r="F23" s="466">
        <f>'EquipmentLeaks - T&amp;M Costs'!D3</f>
        <v>77797.502752356988</v>
      </c>
      <c r="G23" s="189">
        <v>1</v>
      </c>
      <c r="H23" s="189">
        <f>E23*$G23</f>
        <v>2</v>
      </c>
      <c r="I23" s="194">
        <v>13</v>
      </c>
      <c r="J23" s="195">
        <f>H23*I23</f>
        <v>26</v>
      </c>
      <c r="K23" s="195">
        <f t="shared" si="7"/>
        <v>1.3</v>
      </c>
      <c r="L23" s="195">
        <f t="shared" si="8"/>
        <v>2.6</v>
      </c>
      <c r="M23" s="110">
        <f>J23*'Hourly Rates'!$E$24+K23*'Hourly Rates'!$E$23+L23*'Hourly Rates'!$E$25</f>
        <v>2828.1161999999999</v>
      </c>
      <c r="N23" s="110">
        <f>F23*G23*I23</f>
        <v>1011367.5357806408</v>
      </c>
      <c r="O23" s="193">
        <v>0</v>
      </c>
      <c r="P23" s="258" t="s">
        <v>300</v>
      </c>
      <c r="Q23" s="45"/>
      <c r="T23" s="98"/>
    </row>
    <row r="24" spans="1:20" ht="15" customHeight="1">
      <c r="A24" s="222"/>
      <c r="B24" s="176"/>
      <c r="C24" s="175" t="s">
        <v>175</v>
      </c>
      <c r="D24" s="170"/>
      <c r="E24" s="190"/>
      <c r="F24" s="201"/>
      <c r="G24" s="189"/>
      <c r="H24" s="189"/>
      <c r="I24" s="197"/>
      <c r="J24" s="195"/>
      <c r="K24" s="195"/>
      <c r="L24" s="195"/>
      <c r="M24" s="110"/>
      <c r="N24" s="110"/>
      <c r="O24" s="193"/>
      <c r="P24" s="258"/>
      <c r="Q24" s="45"/>
      <c r="T24" s="98"/>
    </row>
    <row r="25" spans="1:20" ht="15" customHeight="1">
      <c r="A25" s="222"/>
      <c r="B25" s="176"/>
      <c r="C25" s="175"/>
      <c r="D25" s="262" t="s">
        <v>249</v>
      </c>
      <c r="E25" s="190">
        <v>32</v>
      </c>
      <c r="F25" s="466">
        <f>'Process Vent - T&amp;M Costs'!H23</f>
        <v>48030</v>
      </c>
      <c r="G25" s="189">
        <v>1</v>
      </c>
      <c r="H25" s="189">
        <f>E25*$G25</f>
        <v>32</v>
      </c>
      <c r="I25" s="197">
        <v>0</v>
      </c>
      <c r="J25" s="195">
        <f t="shared" si="6"/>
        <v>0</v>
      </c>
      <c r="K25" s="195">
        <f t="shared" si="7"/>
        <v>0</v>
      </c>
      <c r="L25" s="195">
        <f t="shared" ref="L25" si="10">J25*0.1</f>
        <v>0</v>
      </c>
      <c r="M25" s="110">
        <f>J25*'Hourly Rates'!$E$24+K25*'Hourly Rates'!$E$23+L25*'Hourly Rates'!$E$25</f>
        <v>0</v>
      </c>
      <c r="N25" s="110">
        <f t="shared" ref="N25" si="11">F25*G25*I25</f>
        <v>0</v>
      </c>
      <c r="O25" s="193">
        <v>0</v>
      </c>
      <c r="P25" s="258" t="s">
        <v>91</v>
      </c>
      <c r="Q25" s="45"/>
      <c r="T25" s="98"/>
    </row>
    <row r="26" spans="1:20" ht="15" customHeight="1">
      <c r="A26" s="222"/>
      <c r="B26" s="176"/>
      <c r="C26" s="175"/>
      <c r="D26" s="403" t="s">
        <v>250</v>
      </c>
      <c r="E26" s="190">
        <v>1</v>
      </c>
      <c r="F26" s="466">
        <f>'Resin T&amp;M Costs'!E19</f>
        <v>601</v>
      </c>
      <c r="G26" s="189">
        <v>11</v>
      </c>
      <c r="H26" s="189">
        <f t="shared" ref="H26:H30" si="12">E26*$G26</f>
        <v>11</v>
      </c>
      <c r="I26" s="197">
        <v>18</v>
      </c>
      <c r="J26" s="195">
        <f t="shared" si="6"/>
        <v>198</v>
      </c>
      <c r="K26" s="195">
        <f t="shared" si="7"/>
        <v>9.9</v>
      </c>
      <c r="L26" s="195">
        <f t="shared" ref="L26:L30" si="13">J26*0.1</f>
        <v>19.8</v>
      </c>
      <c r="M26" s="110">
        <f>J26*'Hourly Rates'!$E$24+K26*'Hourly Rates'!$E$23+L26*'Hourly Rates'!$E$25</f>
        <v>21537.192599999998</v>
      </c>
      <c r="N26" s="110">
        <f t="shared" ref="N26:N30" si="14">F26*G26*I26</f>
        <v>118998</v>
      </c>
      <c r="O26" s="193">
        <v>0</v>
      </c>
      <c r="P26" s="258" t="s">
        <v>51</v>
      </c>
      <c r="Q26" s="45"/>
      <c r="T26" s="98"/>
    </row>
    <row r="27" spans="1:20" ht="15" customHeight="1">
      <c r="A27" s="222"/>
      <c r="B27" s="176"/>
      <c r="C27" s="175"/>
      <c r="D27" s="403" t="s">
        <v>263</v>
      </c>
      <c r="E27" s="190">
        <v>1</v>
      </c>
      <c r="F27" s="466">
        <f>SUM('Wastewater T&amp;M Costs'!D4:D5)</f>
        <v>490.5</v>
      </c>
      <c r="G27" s="189">
        <v>11</v>
      </c>
      <c r="H27" s="189">
        <f t="shared" si="12"/>
        <v>11</v>
      </c>
      <c r="I27" s="197">
        <v>15</v>
      </c>
      <c r="J27" s="195">
        <f t="shared" si="6"/>
        <v>165</v>
      </c>
      <c r="K27" s="195">
        <f t="shared" si="7"/>
        <v>8.25</v>
      </c>
      <c r="L27" s="195">
        <f t="shared" si="13"/>
        <v>16.5</v>
      </c>
      <c r="M27" s="110">
        <f>J27*'Hourly Rates'!$E$24+K27*'Hourly Rates'!$E$23+L27*'Hourly Rates'!$E$25</f>
        <v>17947.660500000002</v>
      </c>
      <c r="N27" s="110">
        <f t="shared" si="14"/>
        <v>80932.5</v>
      </c>
      <c r="O27" s="193">
        <v>0</v>
      </c>
      <c r="P27" s="258" t="s">
        <v>32</v>
      </c>
      <c r="Q27" s="45"/>
      <c r="T27" s="98"/>
    </row>
    <row r="28" spans="1:20" ht="15" customHeight="1">
      <c r="A28" s="222"/>
      <c r="B28" s="176"/>
      <c r="C28" s="175"/>
      <c r="D28" s="403" t="s">
        <v>350</v>
      </c>
      <c r="E28" s="190">
        <v>1</v>
      </c>
      <c r="F28" s="466">
        <f>SUM('Wastewater T&amp;M Costs'!D4:D5)</f>
        <v>490.5</v>
      </c>
      <c r="G28" s="189">
        <v>1</v>
      </c>
      <c r="H28" s="189">
        <f t="shared" si="12"/>
        <v>1</v>
      </c>
      <c r="I28" s="197">
        <v>0</v>
      </c>
      <c r="J28" s="195">
        <f t="shared" si="6"/>
        <v>0</v>
      </c>
      <c r="K28" s="195">
        <f t="shared" si="7"/>
        <v>0</v>
      </c>
      <c r="L28" s="195">
        <f t="shared" si="13"/>
        <v>0</v>
      </c>
      <c r="M28" s="110">
        <f>J28*'Hourly Rates'!$E$24+K28*'Hourly Rates'!$E$23+L28*'Hourly Rates'!$E$25</f>
        <v>0</v>
      </c>
      <c r="N28" s="110">
        <f t="shared" si="14"/>
        <v>0</v>
      </c>
      <c r="O28" s="193">
        <v>0</v>
      </c>
      <c r="P28" s="258" t="s">
        <v>32</v>
      </c>
      <c r="Q28" s="45"/>
      <c r="T28" s="98"/>
    </row>
    <row r="29" spans="1:20" ht="15" customHeight="1">
      <c r="A29" s="222"/>
      <c r="B29" s="176"/>
      <c r="C29" s="175"/>
      <c r="D29" s="403" t="s">
        <v>351</v>
      </c>
      <c r="E29" s="190">
        <v>1</v>
      </c>
      <c r="F29" s="466">
        <v>0</v>
      </c>
      <c r="G29" s="189">
        <v>12</v>
      </c>
      <c r="H29" s="189">
        <f t="shared" si="12"/>
        <v>12</v>
      </c>
      <c r="I29" s="197">
        <v>23</v>
      </c>
      <c r="J29" s="195">
        <f t="shared" si="6"/>
        <v>276</v>
      </c>
      <c r="K29" s="195">
        <f t="shared" si="7"/>
        <v>13.8</v>
      </c>
      <c r="L29" s="195">
        <f t="shared" si="13"/>
        <v>27.6</v>
      </c>
      <c r="M29" s="110">
        <f>J29*'Hourly Rates'!$E$24+K29*'Hourly Rates'!$E$23+L29*'Hourly Rates'!$E$25</f>
        <v>30021.5412</v>
      </c>
      <c r="N29" s="110">
        <f>F29*G29*I29</f>
        <v>0</v>
      </c>
      <c r="O29" s="193">
        <v>0</v>
      </c>
      <c r="P29" s="258" t="s">
        <v>228</v>
      </c>
      <c r="Q29" s="45"/>
      <c r="T29" s="98"/>
    </row>
    <row r="30" spans="1:20" ht="15" customHeight="1">
      <c r="A30" s="222"/>
      <c r="B30" s="176"/>
      <c r="C30" s="175"/>
      <c r="D30" s="403" t="s">
        <v>352</v>
      </c>
      <c r="E30" s="440">
        <v>1</v>
      </c>
      <c r="F30" s="466">
        <f>'EquipmentLeaks - T&amp;M Costs'!H3</f>
        <v>18205.054371160684</v>
      </c>
      <c r="G30" s="189">
        <v>1</v>
      </c>
      <c r="H30" s="189">
        <f t="shared" si="12"/>
        <v>1</v>
      </c>
      <c r="I30" s="197">
        <v>13</v>
      </c>
      <c r="J30" s="195">
        <f t="shared" si="6"/>
        <v>13</v>
      </c>
      <c r="K30" s="195">
        <f t="shared" si="7"/>
        <v>0.65</v>
      </c>
      <c r="L30" s="195">
        <f t="shared" si="13"/>
        <v>1.3</v>
      </c>
      <c r="M30" s="110">
        <f>J30*'Hourly Rates'!$E$24+K30*'Hourly Rates'!$E$23+L30*'Hourly Rates'!$E$25</f>
        <v>1414.0581</v>
      </c>
      <c r="N30" s="110">
        <f t="shared" si="14"/>
        <v>236665.70682508888</v>
      </c>
      <c r="O30" s="193">
        <v>0</v>
      </c>
      <c r="P30" s="258" t="s">
        <v>300</v>
      </c>
      <c r="Q30" s="45"/>
      <c r="T30" s="98"/>
    </row>
    <row r="31" spans="1:20" ht="15" customHeight="1">
      <c r="A31" s="222"/>
      <c r="B31" s="178"/>
      <c r="C31" s="175" t="s">
        <v>171</v>
      </c>
      <c r="D31" s="168"/>
      <c r="E31" s="190"/>
      <c r="F31" s="201"/>
      <c r="G31" s="180"/>
      <c r="H31" s="180"/>
      <c r="I31" s="197"/>
      <c r="J31" s="195"/>
      <c r="K31" s="195"/>
      <c r="L31" s="195"/>
      <c r="M31" s="110"/>
      <c r="N31" s="110"/>
      <c r="O31" s="193"/>
      <c r="P31" s="258"/>
      <c r="Q31" s="45"/>
    </row>
    <row r="32" spans="1:20" ht="15" customHeight="1">
      <c r="A32" s="222"/>
      <c r="B32" s="178"/>
      <c r="C32" s="175"/>
      <c r="D32" s="262" t="s">
        <v>249</v>
      </c>
      <c r="E32" s="190">
        <v>3.5</v>
      </c>
      <c r="F32" s="201">
        <v>0</v>
      </c>
      <c r="G32" s="180">
        <v>1</v>
      </c>
      <c r="H32" s="180">
        <f>E32*$G32</f>
        <v>3.5</v>
      </c>
      <c r="I32" s="197">
        <v>14</v>
      </c>
      <c r="J32" s="195">
        <f t="shared" ref="J32" si="15">H32*I32</f>
        <v>49</v>
      </c>
      <c r="K32" s="195">
        <f t="shared" ref="K32" si="16">J32*0.05</f>
        <v>2.4500000000000002</v>
      </c>
      <c r="L32" s="195">
        <f t="shared" ref="L32" si="17">J32*0.1</f>
        <v>4.9000000000000004</v>
      </c>
      <c r="M32" s="110">
        <f>J32*'Hourly Rates'!$E$24+K32*'Hourly Rates'!$E$23+L32*'Hourly Rates'!$E$25</f>
        <v>5329.9113000000007</v>
      </c>
      <c r="N32" s="110">
        <f t="shared" ref="N32:N35" si="18">F32*G32*I32</f>
        <v>0</v>
      </c>
      <c r="O32" s="193">
        <v>0</v>
      </c>
      <c r="P32" s="258" t="s">
        <v>298</v>
      </c>
      <c r="Q32" s="45"/>
    </row>
    <row r="33" spans="1:17" ht="15" customHeight="1">
      <c r="A33" s="222"/>
      <c r="B33" s="178"/>
      <c r="C33" s="175" t="s">
        <v>164</v>
      </c>
      <c r="D33" s="168"/>
      <c r="E33" s="190"/>
      <c r="F33" s="201"/>
      <c r="G33" s="180"/>
      <c r="H33" s="180"/>
      <c r="I33" s="197"/>
      <c r="J33" s="195"/>
      <c r="K33" s="195"/>
      <c r="L33" s="195"/>
      <c r="M33" s="110"/>
      <c r="N33" s="110"/>
      <c r="O33" s="193"/>
      <c r="P33" s="221"/>
      <c r="Q33" s="45"/>
    </row>
    <row r="34" spans="1:17" ht="15" customHeight="1">
      <c r="A34" s="222"/>
      <c r="B34" s="178"/>
      <c r="C34" s="179"/>
      <c r="D34" s="262" t="s">
        <v>289</v>
      </c>
      <c r="E34" s="190">
        <v>0</v>
      </c>
      <c r="F34" s="201">
        <f>'EquipmentLeaks - T&amp;M Costs'!C3</f>
        <v>188913</v>
      </c>
      <c r="G34" s="180">
        <v>1</v>
      </c>
      <c r="H34" s="180">
        <f t="shared" ref="H34:H35" si="19">E34*$G34</f>
        <v>0</v>
      </c>
      <c r="I34" s="197">
        <v>15</v>
      </c>
      <c r="J34" s="195">
        <f t="shared" ref="J34:J35" si="20">H34*I34</f>
        <v>0</v>
      </c>
      <c r="K34" s="195">
        <f t="shared" ref="K34:K35" si="21">J34*0.05</f>
        <v>0</v>
      </c>
      <c r="L34" s="195">
        <f t="shared" ref="L34:L35" si="22">J34*0.1</f>
        <v>0</v>
      </c>
      <c r="M34" s="110">
        <f>J34*'Hourly Rates'!$E$24+K34*'Hourly Rates'!$E$23+L34*'Hourly Rates'!$E$25</f>
        <v>0</v>
      </c>
      <c r="N34" s="110">
        <f t="shared" si="18"/>
        <v>2833695</v>
      </c>
      <c r="O34" s="193">
        <v>0</v>
      </c>
      <c r="P34" s="258" t="s">
        <v>210</v>
      </c>
      <c r="Q34" s="45"/>
    </row>
    <row r="35" spans="1:17" ht="15" customHeight="1">
      <c r="A35" s="222"/>
      <c r="B35" s="178"/>
      <c r="C35" s="179"/>
      <c r="D35" s="262" t="s">
        <v>290</v>
      </c>
      <c r="E35" s="190">
        <f>'Hourly Rates'!C8</f>
        <v>11</v>
      </c>
      <c r="F35" s="201">
        <f>'EquipmentLeaks - T&amp;M Costs'!I3</f>
        <v>26897</v>
      </c>
      <c r="G35" s="180">
        <v>1</v>
      </c>
      <c r="H35" s="180">
        <f t="shared" si="19"/>
        <v>11</v>
      </c>
      <c r="I35" s="197">
        <v>15</v>
      </c>
      <c r="J35" s="195">
        <f t="shared" si="20"/>
        <v>165</v>
      </c>
      <c r="K35" s="195">
        <f t="shared" si="21"/>
        <v>8.25</v>
      </c>
      <c r="L35" s="195">
        <f t="shared" si="22"/>
        <v>16.5</v>
      </c>
      <c r="M35" s="110">
        <f>J35*'Hourly Rates'!$E$24+K35*'Hourly Rates'!$E$23+L35*'Hourly Rates'!$E$25</f>
        <v>17947.660500000002</v>
      </c>
      <c r="N35" s="110">
        <f t="shared" si="18"/>
        <v>403455</v>
      </c>
      <c r="O35" s="193">
        <v>0</v>
      </c>
      <c r="P35" s="258" t="s">
        <v>57</v>
      </c>
      <c r="Q35" s="45"/>
    </row>
    <row r="36" spans="1:17" ht="15" customHeight="1">
      <c r="A36" s="222"/>
      <c r="B36" s="33" t="s">
        <v>26</v>
      </c>
      <c r="C36" s="172" t="s">
        <v>27</v>
      </c>
      <c r="D36" s="168"/>
      <c r="E36" s="190" t="s">
        <v>130</v>
      </c>
      <c r="F36" s="196"/>
      <c r="G36" s="180"/>
      <c r="H36" s="180"/>
      <c r="I36" s="197"/>
      <c r="J36" s="195"/>
      <c r="K36" s="195"/>
      <c r="L36" s="195"/>
      <c r="M36" s="110"/>
      <c r="N36" s="110"/>
      <c r="O36" s="193"/>
      <c r="P36" s="221"/>
      <c r="Q36" s="45"/>
    </row>
    <row r="37" spans="1:17" ht="15" customHeight="1">
      <c r="A37" s="222"/>
      <c r="B37" s="33" t="s">
        <v>28</v>
      </c>
      <c r="C37" s="172" t="s">
        <v>29</v>
      </c>
      <c r="D37" s="168"/>
      <c r="E37" s="181" t="s">
        <v>131</v>
      </c>
      <c r="F37" s="196"/>
      <c r="G37" s="189"/>
      <c r="H37" s="189"/>
      <c r="I37" s="197"/>
      <c r="J37" s="195"/>
      <c r="K37" s="195"/>
      <c r="L37" s="195"/>
      <c r="M37" s="110"/>
      <c r="N37" s="110"/>
      <c r="O37" s="193"/>
      <c r="P37" s="221"/>
      <c r="Q37" s="45"/>
    </row>
    <row r="38" spans="1:17" ht="15" customHeight="1">
      <c r="A38" s="222"/>
      <c r="B38" s="33" t="s">
        <v>30</v>
      </c>
      <c r="C38" s="172" t="s">
        <v>52</v>
      </c>
      <c r="D38" s="168"/>
      <c r="E38" s="190"/>
      <c r="F38" s="196"/>
      <c r="G38" s="180"/>
      <c r="H38" s="191"/>
      <c r="I38" s="198"/>
      <c r="J38" s="191">
        <f t="shared" ref="J38:J44" si="23">H38*I38</f>
        <v>0</v>
      </c>
      <c r="K38" s="191">
        <f t="shared" ref="K38:K44" si="24">J38*0.05</f>
        <v>0</v>
      </c>
      <c r="L38" s="191">
        <f t="shared" ref="L38:L44" si="25">J38*0.1</f>
        <v>0</v>
      </c>
      <c r="M38" s="110"/>
      <c r="N38" s="191"/>
      <c r="O38" s="193"/>
      <c r="P38" s="220"/>
      <c r="Q38" s="45"/>
    </row>
    <row r="39" spans="1:17" ht="15" customHeight="1">
      <c r="A39" s="222"/>
      <c r="B39" s="33"/>
      <c r="C39" s="174" t="s">
        <v>165</v>
      </c>
      <c r="D39" s="168"/>
      <c r="E39" s="190">
        <v>5</v>
      </c>
      <c r="F39" s="199">
        <v>0</v>
      </c>
      <c r="G39" s="180">
        <v>1</v>
      </c>
      <c r="H39" s="180">
        <f t="shared" ref="H39:H45" si="26">E39*$G39</f>
        <v>5</v>
      </c>
      <c r="I39" s="197">
        <f>$I$16</f>
        <v>15</v>
      </c>
      <c r="J39" s="195">
        <f t="shared" si="23"/>
        <v>75</v>
      </c>
      <c r="K39" s="195">
        <f t="shared" si="24"/>
        <v>3.75</v>
      </c>
      <c r="L39" s="195">
        <f t="shared" si="25"/>
        <v>7.5</v>
      </c>
      <c r="M39" s="110">
        <f>J39*'Hourly Rates'!$E$24+K39*'Hourly Rates'!$E$23+L39*'Hourly Rates'!$E$25</f>
        <v>8158.0275000000001</v>
      </c>
      <c r="N39" s="110">
        <f t="shared" ref="N39:N45" si="27">F39*G39*I39</f>
        <v>0</v>
      </c>
      <c r="O39" s="193">
        <f t="shared" ref="O39:O45" si="28">G39*I39</f>
        <v>15</v>
      </c>
      <c r="P39" s="258" t="s">
        <v>210</v>
      </c>
      <c r="Q39" s="45"/>
    </row>
    <row r="40" spans="1:17" ht="15" customHeight="1">
      <c r="A40" s="222"/>
      <c r="B40" s="33"/>
      <c r="C40" s="262" t="s">
        <v>200</v>
      </c>
      <c r="D40" s="169"/>
      <c r="E40" s="190">
        <v>5</v>
      </c>
      <c r="F40" s="199">
        <v>0</v>
      </c>
      <c r="G40" s="180">
        <v>1</v>
      </c>
      <c r="H40" s="180">
        <f t="shared" si="26"/>
        <v>5</v>
      </c>
      <c r="I40" s="197">
        <f>$I$16</f>
        <v>15</v>
      </c>
      <c r="J40" s="195">
        <f t="shared" si="23"/>
        <v>75</v>
      </c>
      <c r="K40" s="195">
        <f t="shared" si="24"/>
        <v>3.75</v>
      </c>
      <c r="L40" s="195">
        <f t="shared" si="25"/>
        <v>7.5</v>
      </c>
      <c r="M40" s="110">
        <f>J40*'Hourly Rates'!$E$24+K40*'Hourly Rates'!$E$23+L40*'Hourly Rates'!$E$25</f>
        <v>8158.0275000000001</v>
      </c>
      <c r="N40" s="110">
        <f t="shared" si="27"/>
        <v>0</v>
      </c>
      <c r="O40" s="193">
        <f t="shared" si="28"/>
        <v>15</v>
      </c>
      <c r="P40" s="258" t="s">
        <v>210</v>
      </c>
      <c r="Q40" s="45"/>
    </row>
    <row r="41" spans="1:17" ht="15" customHeight="1">
      <c r="A41" s="222"/>
      <c r="B41" s="33"/>
      <c r="C41" s="262" t="s">
        <v>201</v>
      </c>
      <c r="D41" s="169"/>
      <c r="E41" s="190">
        <v>10</v>
      </c>
      <c r="F41" s="199">
        <v>0</v>
      </c>
      <c r="G41" s="180">
        <v>1</v>
      </c>
      <c r="H41" s="180">
        <f t="shared" si="26"/>
        <v>10</v>
      </c>
      <c r="I41" s="197">
        <f>$I$16</f>
        <v>15</v>
      </c>
      <c r="J41" s="195">
        <f t="shared" si="23"/>
        <v>150</v>
      </c>
      <c r="K41" s="195">
        <f t="shared" si="24"/>
        <v>7.5</v>
      </c>
      <c r="L41" s="195">
        <f t="shared" si="25"/>
        <v>15</v>
      </c>
      <c r="M41" s="110">
        <f>J41*'Hourly Rates'!$E$24+K41*'Hourly Rates'!$E$23+L41*'Hourly Rates'!$E$25</f>
        <v>16316.055</v>
      </c>
      <c r="N41" s="110">
        <f t="shared" si="27"/>
        <v>0</v>
      </c>
      <c r="O41" s="193">
        <f t="shared" si="28"/>
        <v>15</v>
      </c>
      <c r="P41" s="258" t="s">
        <v>210</v>
      </c>
      <c r="Q41" s="45"/>
    </row>
    <row r="42" spans="1:17" ht="15" customHeight="1">
      <c r="A42" s="222"/>
      <c r="B42" s="33"/>
      <c r="C42" s="262" t="s">
        <v>202</v>
      </c>
      <c r="D42" s="168"/>
      <c r="E42" s="190">
        <v>20</v>
      </c>
      <c r="F42" s="199">
        <v>0</v>
      </c>
      <c r="G42" s="180">
        <v>1</v>
      </c>
      <c r="H42" s="180">
        <f t="shared" si="26"/>
        <v>20</v>
      </c>
      <c r="I42" s="197">
        <f>$I$16</f>
        <v>15</v>
      </c>
      <c r="J42" s="195">
        <f t="shared" si="23"/>
        <v>300</v>
      </c>
      <c r="K42" s="195">
        <f t="shared" si="24"/>
        <v>15</v>
      </c>
      <c r="L42" s="195">
        <f t="shared" si="25"/>
        <v>30</v>
      </c>
      <c r="M42" s="110">
        <f>J42*'Hourly Rates'!$E$24+K42*'Hourly Rates'!$E$23+L42*'Hourly Rates'!$E$25</f>
        <v>32632.11</v>
      </c>
      <c r="N42" s="110">
        <f t="shared" si="27"/>
        <v>0</v>
      </c>
      <c r="O42" s="193">
        <f t="shared" si="28"/>
        <v>15</v>
      </c>
      <c r="P42" s="258" t="s">
        <v>210</v>
      </c>
      <c r="Q42" s="45"/>
    </row>
    <row r="43" spans="1:17" ht="15" customHeight="1">
      <c r="A43" s="222"/>
      <c r="B43" s="33"/>
      <c r="C43" s="262" t="s">
        <v>203</v>
      </c>
      <c r="D43" s="168"/>
      <c r="E43" s="190">
        <v>25</v>
      </c>
      <c r="F43" s="199">
        <v>0</v>
      </c>
      <c r="G43" s="180">
        <v>1</v>
      </c>
      <c r="H43" s="180">
        <f t="shared" si="26"/>
        <v>25</v>
      </c>
      <c r="I43" s="197">
        <v>0</v>
      </c>
      <c r="J43" s="195">
        <f t="shared" si="23"/>
        <v>0</v>
      </c>
      <c r="K43" s="195">
        <f t="shared" si="24"/>
        <v>0</v>
      </c>
      <c r="L43" s="195">
        <f t="shared" si="25"/>
        <v>0</v>
      </c>
      <c r="M43" s="110">
        <f>J43*'Hourly Rates'!$E$24+K43*'Hourly Rates'!$E$23+L43*'Hourly Rates'!$E$25</f>
        <v>0</v>
      </c>
      <c r="N43" s="110">
        <f t="shared" si="27"/>
        <v>0</v>
      </c>
      <c r="O43" s="193">
        <f t="shared" si="28"/>
        <v>0</v>
      </c>
      <c r="P43" s="258" t="s">
        <v>308</v>
      </c>
      <c r="Q43" s="45"/>
    </row>
    <row r="44" spans="1:17" ht="15" customHeight="1">
      <c r="A44" s="222"/>
      <c r="B44" s="33"/>
      <c r="C44" s="262" t="s">
        <v>204</v>
      </c>
      <c r="D44" s="168"/>
      <c r="E44" s="190">
        <v>5</v>
      </c>
      <c r="F44" s="199">
        <v>0</v>
      </c>
      <c r="G44" s="180">
        <v>1</v>
      </c>
      <c r="H44" s="180">
        <f t="shared" si="26"/>
        <v>5</v>
      </c>
      <c r="I44" s="197">
        <f>$I$16</f>
        <v>15</v>
      </c>
      <c r="J44" s="195">
        <f t="shared" si="23"/>
        <v>75</v>
      </c>
      <c r="K44" s="195">
        <f t="shared" si="24"/>
        <v>3.75</v>
      </c>
      <c r="L44" s="195">
        <f t="shared" si="25"/>
        <v>7.5</v>
      </c>
      <c r="M44" s="110">
        <f>J44*'Hourly Rates'!$E$24+K44*'Hourly Rates'!$E$23+L44*'Hourly Rates'!$E$25</f>
        <v>8158.0275000000001</v>
      </c>
      <c r="N44" s="110">
        <f t="shared" si="27"/>
        <v>0</v>
      </c>
      <c r="O44" s="193">
        <f t="shared" si="28"/>
        <v>15</v>
      </c>
      <c r="P44" s="258" t="s">
        <v>308</v>
      </c>
      <c r="Q44" s="45"/>
    </row>
    <row r="45" spans="1:17" ht="15" customHeight="1">
      <c r="A45" s="222"/>
      <c r="B45" s="33"/>
      <c r="C45" s="262" t="s">
        <v>205</v>
      </c>
      <c r="D45" s="168"/>
      <c r="E45" s="190">
        <v>18</v>
      </c>
      <c r="F45" s="199">
        <v>0</v>
      </c>
      <c r="G45" s="180">
        <v>1</v>
      </c>
      <c r="H45" s="180">
        <f t="shared" si="26"/>
        <v>18</v>
      </c>
      <c r="I45" s="197">
        <v>0</v>
      </c>
      <c r="J45" s="195">
        <v>18</v>
      </c>
      <c r="K45" s="195">
        <v>12</v>
      </c>
      <c r="L45" s="195">
        <v>0</v>
      </c>
      <c r="M45" s="110">
        <v>0</v>
      </c>
      <c r="N45" s="110">
        <f t="shared" si="27"/>
        <v>0</v>
      </c>
      <c r="O45" s="193">
        <f t="shared" si="28"/>
        <v>0</v>
      </c>
      <c r="P45" s="258" t="s">
        <v>128</v>
      </c>
      <c r="Q45" s="45"/>
    </row>
    <row r="46" spans="1:17" s="46" customFormat="1" ht="15" customHeight="1">
      <c r="A46" s="223" t="s">
        <v>83</v>
      </c>
      <c r="B46" s="171"/>
      <c r="C46" s="171"/>
      <c r="D46" s="168"/>
      <c r="E46" s="190"/>
      <c r="F46" s="200"/>
      <c r="G46" s="189"/>
      <c r="H46" s="189"/>
      <c r="I46" s="189"/>
      <c r="J46" s="195">
        <f>SUM(J13:J44)</f>
        <v>2540</v>
      </c>
      <c r="K46" s="195">
        <f>SUM(K13:K44)</f>
        <v>127</v>
      </c>
      <c r="L46" s="195">
        <f>SUM(L13:L44)</f>
        <v>254</v>
      </c>
      <c r="M46" s="110">
        <f>J46*'Hourly Rates'!$E$24+K46*'Hourly Rates'!$E$23+L46*'Hourly Rates'!$E$25</f>
        <v>276285.19800000003</v>
      </c>
      <c r="N46" s="201">
        <f>SUM(N13:N45)-N34</f>
        <v>2630128.0890322477</v>
      </c>
      <c r="O46" s="195">
        <f>SUM(O13:O45)</f>
        <v>75</v>
      </c>
      <c r="P46" s="258" t="s">
        <v>134</v>
      </c>
    </row>
    <row r="47" spans="1:17" ht="15" customHeight="1">
      <c r="A47" s="224" t="s">
        <v>66</v>
      </c>
      <c r="B47" s="34"/>
      <c r="C47" s="225"/>
      <c r="D47" s="31"/>
      <c r="E47" s="107" t="s">
        <v>23</v>
      </c>
      <c r="F47" s="107" t="s">
        <v>23</v>
      </c>
      <c r="G47" s="103" t="s">
        <v>23</v>
      </c>
      <c r="H47" s="103" t="s">
        <v>23</v>
      </c>
      <c r="I47" s="104" t="s">
        <v>23</v>
      </c>
      <c r="J47" s="105" t="s">
        <v>23</v>
      </c>
      <c r="K47" s="105" t="s">
        <v>23</v>
      </c>
      <c r="L47" s="106" t="s">
        <v>23</v>
      </c>
      <c r="M47" s="166"/>
      <c r="N47" s="165" t="s">
        <v>23</v>
      </c>
      <c r="O47" s="188"/>
      <c r="P47" s="167"/>
      <c r="Q47" s="45"/>
    </row>
    <row r="48" spans="1:17" ht="15" customHeight="1">
      <c r="A48" s="97"/>
      <c r="B48" s="35" t="s">
        <v>67</v>
      </c>
      <c r="C48" s="36"/>
      <c r="D48" s="37"/>
      <c r="E48" s="113" t="s">
        <v>132</v>
      </c>
      <c r="F48" s="107" t="s">
        <v>23</v>
      </c>
      <c r="G48" s="103" t="s">
        <v>23</v>
      </c>
      <c r="H48" s="103" t="s">
        <v>23</v>
      </c>
      <c r="I48" s="104" t="s">
        <v>23</v>
      </c>
      <c r="J48" s="105" t="s">
        <v>23</v>
      </c>
      <c r="K48" s="105" t="s">
        <v>23</v>
      </c>
      <c r="L48" s="106" t="s">
        <v>23</v>
      </c>
      <c r="M48" s="110"/>
      <c r="N48" s="110"/>
      <c r="O48" s="114"/>
      <c r="P48" s="115"/>
      <c r="Q48" s="45"/>
    </row>
    <row r="49" spans="1:17" ht="15" customHeight="1">
      <c r="A49" s="116"/>
      <c r="B49" s="38" t="s">
        <v>135</v>
      </c>
      <c r="C49" s="36"/>
      <c r="D49" s="37"/>
      <c r="E49" s="86" t="s">
        <v>129</v>
      </c>
      <c r="F49" s="101"/>
      <c r="G49" s="87"/>
      <c r="H49" s="87"/>
      <c r="I49" s="117"/>
      <c r="J49" s="118"/>
      <c r="K49" s="118"/>
      <c r="L49" s="119"/>
      <c r="M49" s="110"/>
      <c r="N49" s="110"/>
      <c r="O49" s="114"/>
      <c r="P49" s="115"/>
      <c r="Q49" s="45"/>
    </row>
    <row r="50" spans="1:17" ht="15" customHeight="1">
      <c r="A50" s="120"/>
      <c r="B50" s="39" t="s">
        <v>166</v>
      </c>
      <c r="C50" s="30"/>
      <c r="D50" s="95"/>
      <c r="E50" s="132" t="s">
        <v>129</v>
      </c>
      <c r="F50" s="101"/>
      <c r="G50" s="87"/>
      <c r="H50" s="87"/>
      <c r="I50" s="117"/>
      <c r="J50" s="118"/>
      <c r="K50" s="118"/>
      <c r="L50" s="119"/>
      <c r="M50" s="110"/>
      <c r="N50" s="110"/>
      <c r="O50" s="114"/>
      <c r="P50" s="115"/>
      <c r="Q50" s="45"/>
    </row>
    <row r="51" spans="1:17" ht="15" customHeight="1">
      <c r="A51" s="120"/>
      <c r="B51" s="40" t="s">
        <v>167</v>
      </c>
      <c r="C51" s="30"/>
      <c r="D51" s="95"/>
      <c r="E51" s="101"/>
      <c r="F51" s="101"/>
      <c r="G51" s="87"/>
      <c r="H51" s="87"/>
      <c r="I51" s="117"/>
      <c r="J51" s="118"/>
      <c r="K51" s="118"/>
      <c r="L51" s="119"/>
      <c r="M51" s="110"/>
      <c r="N51" s="110"/>
      <c r="O51" s="114"/>
      <c r="P51" s="115"/>
      <c r="Q51" s="45"/>
    </row>
    <row r="52" spans="1:17" ht="15" customHeight="1">
      <c r="A52" s="120"/>
      <c r="B52" s="40"/>
      <c r="C52" s="30" t="s">
        <v>172</v>
      </c>
      <c r="D52" s="95"/>
      <c r="E52" s="102">
        <v>10</v>
      </c>
      <c r="F52" s="121">
        <v>0</v>
      </c>
      <c r="G52" s="122">
        <v>1</v>
      </c>
      <c r="H52" s="123">
        <f t="shared" ref="H52:H58" si="29">E52*$G52</f>
        <v>10</v>
      </c>
      <c r="I52" s="197">
        <v>0</v>
      </c>
      <c r="J52" s="118">
        <f t="shared" ref="J52:J58" si="30">H52*I52</f>
        <v>0</v>
      </c>
      <c r="K52" s="118">
        <f t="shared" ref="K52:K58" si="31">J52*0.05</f>
        <v>0</v>
      </c>
      <c r="L52" s="119">
        <f t="shared" ref="L52:L58" si="32">J52*0.1</f>
        <v>0</v>
      </c>
      <c r="M52" s="108">
        <f>J52*'Hourly Rates'!$E$24+K52*'Hourly Rates'!$E$23+L52*'Hourly Rates'!$E$25</f>
        <v>0</v>
      </c>
      <c r="N52" s="108">
        <f t="shared" ref="N52:N58" si="33">F52*G52*I52</f>
        <v>0</v>
      </c>
      <c r="O52" s="111">
        <v>0</v>
      </c>
      <c r="P52" s="258" t="s">
        <v>308</v>
      </c>
      <c r="Q52" s="45"/>
    </row>
    <row r="53" spans="1:17" ht="15" customHeight="1">
      <c r="A53" s="124"/>
      <c r="B53" s="41"/>
      <c r="C53" s="263" t="s">
        <v>291</v>
      </c>
      <c r="D53" s="95"/>
      <c r="E53" s="101">
        <v>15</v>
      </c>
      <c r="F53" s="121">
        <v>0</v>
      </c>
      <c r="G53" s="122">
        <v>1</v>
      </c>
      <c r="H53" s="123">
        <f t="shared" si="29"/>
        <v>15</v>
      </c>
      <c r="I53" s="197">
        <v>0</v>
      </c>
      <c r="J53" s="118">
        <f t="shared" si="30"/>
        <v>0</v>
      </c>
      <c r="K53" s="118">
        <f t="shared" si="31"/>
        <v>0</v>
      </c>
      <c r="L53" s="119">
        <f t="shared" si="32"/>
        <v>0</v>
      </c>
      <c r="M53" s="99">
        <f>J53*'Hourly Rates'!$E$24+K53*'Hourly Rates'!$E$23+L53*'Hourly Rates'!$E$25</f>
        <v>0</v>
      </c>
      <c r="N53" s="100">
        <f t="shared" si="33"/>
        <v>0</v>
      </c>
      <c r="O53" s="125">
        <v>0</v>
      </c>
      <c r="P53" s="258" t="s">
        <v>308</v>
      </c>
      <c r="Q53" s="45"/>
    </row>
    <row r="54" spans="1:17" ht="15" customHeight="1">
      <c r="A54" s="126"/>
      <c r="B54" s="42"/>
      <c r="C54" s="263" t="s">
        <v>292</v>
      </c>
      <c r="D54" s="95"/>
      <c r="E54" s="101">
        <v>15</v>
      </c>
      <c r="F54" s="121">
        <v>0</v>
      </c>
      <c r="G54" s="122">
        <v>1</v>
      </c>
      <c r="H54" s="123">
        <f t="shared" si="29"/>
        <v>15</v>
      </c>
      <c r="I54" s="197">
        <v>0</v>
      </c>
      <c r="J54" s="118">
        <f t="shared" si="30"/>
        <v>0</v>
      </c>
      <c r="K54" s="118">
        <f t="shared" si="31"/>
        <v>0</v>
      </c>
      <c r="L54" s="119">
        <f t="shared" si="32"/>
        <v>0</v>
      </c>
      <c r="M54" s="99">
        <f>J54*'Hourly Rates'!$E$24+K54*'Hourly Rates'!$E$23+L54*'Hourly Rates'!$E$25</f>
        <v>0</v>
      </c>
      <c r="N54" s="100">
        <f t="shared" si="33"/>
        <v>0</v>
      </c>
      <c r="O54" s="125">
        <v>0</v>
      </c>
      <c r="P54" s="258" t="s">
        <v>308</v>
      </c>
      <c r="Q54" s="45"/>
    </row>
    <row r="55" spans="1:17" ht="15" customHeight="1">
      <c r="A55" s="126"/>
      <c r="B55" s="39"/>
      <c r="C55" s="263" t="s">
        <v>293</v>
      </c>
      <c r="D55" s="95"/>
      <c r="E55" s="102">
        <v>10</v>
      </c>
      <c r="F55" s="121">
        <v>0</v>
      </c>
      <c r="G55" s="122">
        <v>1</v>
      </c>
      <c r="H55" s="123">
        <f t="shared" si="29"/>
        <v>10</v>
      </c>
      <c r="I55" s="197">
        <v>0</v>
      </c>
      <c r="J55" s="118">
        <f t="shared" si="30"/>
        <v>0</v>
      </c>
      <c r="K55" s="118">
        <f t="shared" si="31"/>
        <v>0</v>
      </c>
      <c r="L55" s="119">
        <f t="shared" si="32"/>
        <v>0</v>
      </c>
      <c r="M55" s="99">
        <f>J55*'Hourly Rates'!$E$24+K55*'Hourly Rates'!$E$23+L55*'Hourly Rates'!$E$25</f>
        <v>0</v>
      </c>
      <c r="N55" s="100">
        <f t="shared" si="33"/>
        <v>0</v>
      </c>
      <c r="O55" s="114">
        <v>0</v>
      </c>
      <c r="P55" s="258" t="s">
        <v>308</v>
      </c>
      <c r="Q55" s="45"/>
    </row>
    <row r="56" spans="1:17" ht="15" customHeight="1">
      <c r="A56" s="126"/>
      <c r="B56" s="39"/>
      <c r="C56" s="441" t="s">
        <v>294</v>
      </c>
      <c r="D56" s="109"/>
      <c r="E56" s="127">
        <v>25</v>
      </c>
      <c r="F56" s="121">
        <v>0</v>
      </c>
      <c r="G56" s="122">
        <v>1</v>
      </c>
      <c r="H56" s="123">
        <f t="shared" si="29"/>
        <v>25</v>
      </c>
      <c r="I56" s="197">
        <v>0</v>
      </c>
      <c r="J56" s="118">
        <f t="shared" si="30"/>
        <v>0</v>
      </c>
      <c r="K56" s="118">
        <f t="shared" si="31"/>
        <v>0</v>
      </c>
      <c r="L56" s="119">
        <f t="shared" si="32"/>
        <v>0</v>
      </c>
      <c r="M56" s="99">
        <f>J56*'Hourly Rates'!$E$24+K56*'Hourly Rates'!$E$23+L56*'Hourly Rates'!$E$25</f>
        <v>0</v>
      </c>
      <c r="N56" s="452">
        <f t="shared" si="33"/>
        <v>0</v>
      </c>
      <c r="O56" s="193">
        <v>0</v>
      </c>
      <c r="P56" s="258" t="s">
        <v>308</v>
      </c>
      <c r="Q56" s="45"/>
    </row>
    <row r="57" spans="1:17" ht="15" customHeight="1">
      <c r="A57" s="128"/>
      <c r="B57" s="37"/>
      <c r="C57" s="442" t="s">
        <v>295</v>
      </c>
      <c r="D57" s="129"/>
      <c r="E57" s="444">
        <v>10</v>
      </c>
      <c r="F57" s="260">
        <v>0</v>
      </c>
      <c r="G57" s="445">
        <v>1</v>
      </c>
      <c r="H57" s="446">
        <f t="shared" si="29"/>
        <v>10</v>
      </c>
      <c r="I57" s="447">
        <v>0</v>
      </c>
      <c r="J57" s="448">
        <f t="shared" si="30"/>
        <v>0</v>
      </c>
      <c r="K57" s="448">
        <f t="shared" si="31"/>
        <v>0</v>
      </c>
      <c r="L57" s="449">
        <f t="shared" si="32"/>
        <v>0</v>
      </c>
      <c r="M57" s="99">
        <f>J57*'Hourly Rates'!$E$24+K57*'Hourly Rates'!$E$23+L57*'Hourly Rates'!$E$25</f>
        <v>0</v>
      </c>
      <c r="N57" s="453">
        <f t="shared" si="33"/>
        <v>0</v>
      </c>
      <c r="O57" s="193">
        <v>0</v>
      </c>
      <c r="P57" s="258" t="s">
        <v>308</v>
      </c>
      <c r="Q57" s="45"/>
    </row>
    <row r="58" spans="1:17" ht="15" customHeight="1">
      <c r="A58" s="177"/>
      <c r="B58" s="176"/>
      <c r="C58" s="443" t="s">
        <v>296</v>
      </c>
      <c r="D58" s="176"/>
      <c r="E58" s="181">
        <v>10</v>
      </c>
      <c r="F58" s="260">
        <v>0</v>
      </c>
      <c r="G58" s="445">
        <v>1</v>
      </c>
      <c r="H58" s="446">
        <f t="shared" si="29"/>
        <v>10</v>
      </c>
      <c r="I58" s="447">
        <v>0</v>
      </c>
      <c r="J58" s="448">
        <f t="shared" si="30"/>
        <v>0</v>
      </c>
      <c r="K58" s="448">
        <f t="shared" si="31"/>
        <v>0</v>
      </c>
      <c r="L58" s="449">
        <f t="shared" si="32"/>
        <v>0</v>
      </c>
      <c r="M58" s="99">
        <f>J58*'Hourly Rates'!$E$24+K58*'Hourly Rates'!$E$23+L58*'Hourly Rates'!$E$25</f>
        <v>0</v>
      </c>
      <c r="N58" s="453">
        <f t="shared" si="33"/>
        <v>0</v>
      </c>
      <c r="O58" s="193">
        <v>0</v>
      </c>
      <c r="P58" s="258" t="s">
        <v>308</v>
      </c>
      <c r="Q58" s="45"/>
    </row>
    <row r="59" spans="1:17" ht="15" customHeight="1">
      <c r="A59" s="126"/>
      <c r="B59" s="42" t="s">
        <v>168</v>
      </c>
      <c r="C59" s="32"/>
      <c r="D59" s="32"/>
      <c r="E59" s="181" t="s">
        <v>130</v>
      </c>
      <c r="F59" s="200" t="s">
        <v>23</v>
      </c>
      <c r="G59" s="189"/>
      <c r="H59" s="189"/>
      <c r="I59" s="189"/>
      <c r="J59" s="195"/>
      <c r="K59" s="195"/>
      <c r="L59" s="195" t="s">
        <v>23</v>
      </c>
      <c r="M59" s="110"/>
      <c r="N59" s="110"/>
      <c r="O59" s="193"/>
      <c r="P59" s="130"/>
      <c r="Q59" s="45"/>
    </row>
    <row r="60" spans="1:17" ht="15" customHeight="1">
      <c r="A60" s="131"/>
      <c r="B60" s="37" t="s">
        <v>169</v>
      </c>
      <c r="C60" s="37"/>
      <c r="D60" s="129"/>
      <c r="E60" s="450" t="s">
        <v>129</v>
      </c>
      <c r="F60" s="261"/>
      <c r="G60" s="261"/>
      <c r="H60" s="261"/>
      <c r="I60" s="261"/>
      <c r="J60" s="261"/>
      <c r="K60" s="261"/>
      <c r="L60" s="261"/>
      <c r="M60" s="94"/>
      <c r="N60" s="451"/>
      <c r="O60" s="133"/>
      <c r="P60" s="134"/>
      <c r="Q60" s="45"/>
    </row>
    <row r="61" spans="1:17" ht="15" customHeight="1" thickBot="1">
      <c r="A61" s="112" t="s">
        <v>82</v>
      </c>
      <c r="B61" s="43"/>
      <c r="C61" s="43"/>
      <c r="D61" s="43"/>
      <c r="E61" s="135"/>
      <c r="F61" s="135"/>
      <c r="G61" s="135"/>
      <c r="H61" s="135"/>
      <c r="I61" s="135"/>
      <c r="J61" s="135">
        <f>SUM(J48:J60)</f>
        <v>0</v>
      </c>
      <c r="K61" s="135">
        <f>SUM(K48:K60)</f>
        <v>0</v>
      </c>
      <c r="L61" s="135">
        <f>SUM(L48:L60)</f>
        <v>0</v>
      </c>
      <c r="M61" s="136">
        <f>J61*'Hourly Rates'!$E$24+K61*'Hourly Rates'!$E$23+L61*'Hourly Rates'!$E$25</f>
        <v>0</v>
      </c>
      <c r="N61" s="137">
        <f>SUM(N48:N60)</f>
        <v>0</v>
      </c>
      <c r="O61" s="138">
        <f>SUM(O48:O60)</f>
        <v>0</v>
      </c>
      <c r="P61" s="465"/>
      <c r="Q61" s="45"/>
    </row>
    <row r="62" spans="1:17" ht="15" customHeight="1" thickBot="1">
      <c r="A62" s="139" t="s">
        <v>54</v>
      </c>
      <c r="B62" s="140"/>
      <c r="C62" s="140"/>
      <c r="D62" s="140"/>
      <c r="E62" s="141"/>
      <c r="F62" s="141"/>
      <c r="G62" s="141"/>
      <c r="H62" s="141"/>
      <c r="I62" s="142"/>
      <c r="J62" s="143">
        <f>SUM(J46,J61)</f>
        <v>2540</v>
      </c>
      <c r="K62" s="143">
        <f>SUM(K46,K61)</f>
        <v>127</v>
      </c>
      <c r="L62" s="143">
        <f>SUM(L46,L61)</f>
        <v>254</v>
      </c>
      <c r="M62" s="144">
        <f>J62*'Hourly Rates'!$E$24+K62*'Hourly Rates'!$E$23+L62*'Hourly Rates'!$E$25</f>
        <v>276285.19800000003</v>
      </c>
      <c r="N62" s="145">
        <f>SUM(N46,N61)</f>
        <v>2630128.0890322477</v>
      </c>
      <c r="O62" s="143">
        <f>SUM(O46,O61)</f>
        <v>75</v>
      </c>
      <c r="P62" s="146"/>
      <c r="Q62" s="45"/>
    </row>
    <row r="63" spans="1:17" ht="15" customHeight="1">
      <c r="A63" s="147"/>
      <c r="B63" s="29"/>
      <c r="C63" s="29"/>
      <c r="D63" s="29"/>
      <c r="E63" s="148"/>
      <c r="F63" s="148"/>
      <c r="G63" s="148"/>
      <c r="H63" s="148"/>
      <c r="I63" s="148"/>
      <c r="J63" s="149"/>
      <c r="K63" s="149" t="s">
        <v>55</v>
      </c>
      <c r="L63" s="149" t="s">
        <v>61</v>
      </c>
      <c r="M63" s="150" t="s">
        <v>62</v>
      </c>
      <c r="N63" s="150" t="s">
        <v>41</v>
      </c>
      <c r="O63" s="151"/>
      <c r="P63" s="152"/>
    </row>
    <row r="64" spans="1:17" ht="15" customHeight="1">
      <c r="A64" s="147"/>
      <c r="B64" s="29"/>
      <c r="C64" s="29"/>
      <c r="D64" s="29"/>
      <c r="E64" s="148"/>
      <c r="F64" s="148"/>
      <c r="G64" s="148"/>
      <c r="H64" s="153" t="s">
        <v>60</v>
      </c>
      <c r="I64" s="148"/>
      <c r="J64" s="149"/>
      <c r="K64" s="149">
        <f>SUM(J62:L62)</f>
        <v>2921</v>
      </c>
      <c r="L64" s="154">
        <f>M62</f>
        <v>276285.19800000003</v>
      </c>
      <c r="M64" s="154">
        <f>N62</f>
        <v>2630128.0890322477</v>
      </c>
      <c r="N64" s="154">
        <f>SUM(L64:M64)</f>
        <v>2906413.2870322475</v>
      </c>
      <c r="O64" s="151"/>
      <c r="P64" s="152"/>
    </row>
    <row r="65" spans="1:17" ht="15" customHeight="1">
      <c r="A65" s="147"/>
      <c r="B65" s="29"/>
      <c r="C65" s="29"/>
      <c r="D65" s="29"/>
      <c r="E65" s="148"/>
      <c r="F65" s="148"/>
      <c r="G65" s="148"/>
      <c r="H65" s="153" t="s">
        <v>112</v>
      </c>
      <c r="I65" s="148"/>
      <c r="J65" s="149"/>
      <c r="K65" s="149" t="s">
        <v>23</v>
      </c>
      <c r="L65" s="154"/>
      <c r="M65" s="154">
        <f>N34+N16</f>
        <v>2835195</v>
      </c>
      <c r="N65" s="154"/>
      <c r="O65" s="151"/>
      <c r="P65" s="152"/>
    </row>
    <row r="66" spans="1:17" ht="15" customHeight="1">
      <c r="A66" s="147"/>
      <c r="B66" s="29"/>
      <c r="C66" s="29"/>
      <c r="D66" s="29"/>
      <c r="E66" s="148"/>
      <c r="F66" s="148"/>
      <c r="G66" s="148"/>
      <c r="H66" s="518" t="s">
        <v>113</v>
      </c>
      <c r="I66" s="518"/>
      <c r="J66" s="518"/>
      <c r="K66" s="518"/>
      <c r="L66" s="154" t="s">
        <v>23</v>
      </c>
      <c r="M66" s="154">
        <f>N46</f>
        <v>2630128.0890322477</v>
      </c>
      <c r="N66" s="154"/>
      <c r="O66" s="151"/>
      <c r="P66" s="152"/>
    </row>
    <row r="67" spans="1:17" ht="15" customHeight="1" thickBot="1">
      <c r="A67" s="44"/>
      <c r="B67" s="155"/>
      <c r="C67" s="43"/>
      <c r="D67" s="43"/>
      <c r="E67" s="156"/>
      <c r="F67" s="156"/>
      <c r="G67" s="156"/>
      <c r="H67" s="156"/>
      <c r="I67" s="156"/>
      <c r="J67" s="157"/>
      <c r="K67" s="157"/>
      <c r="L67" s="157"/>
      <c r="M67" s="157"/>
      <c r="N67" s="158"/>
      <c r="O67" s="158"/>
      <c r="P67" s="159"/>
    </row>
    <row r="68" spans="1:17" ht="15" customHeight="1">
      <c r="A68" s="45" t="s">
        <v>68</v>
      </c>
      <c r="B68" s="46"/>
      <c r="D68" s="160"/>
      <c r="E68" s="161"/>
      <c r="F68" s="161"/>
      <c r="G68" s="46"/>
      <c r="H68" s="46"/>
    </row>
    <row r="69" spans="1:17" ht="15" customHeight="1">
      <c r="A69" s="47" t="s">
        <v>56</v>
      </c>
      <c r="B69" s="45" t="s">
        <v>58</v>
      </c>
      <c r="E69" s="45"/>
      <c r="F69" s="161"/>
      <c r="G69" s="46"/>
      <c r="H69" s="46"/>
    </row>
    <row r="70" spans="1:17" ht="15" customHeight="1">
      <c r="A70" s="47" t="s">
        <v>57</v>
      </c>
      <c r="B70" s="45" t="s">
        <v>104</v>
      </c>
      <c r="E70" s="45"/>
      <c r="F70" s="161"/>
      <c r="G70" s="46"/>
      <c r="H70" s="46"/>
    </row>
    <row r="71" spans="1:17" ht="15" customHeight="1">
      <c r="A71" s="393" t="s">
        <v>19</v>
      </c>
      <c r="B71" s="259" t="s">
        <v>397</v>
      </c>
      <c r="E71" s="45"/>
      <c r="F71" s="161"/>
      <c r="G71" s="46"/>
      <c r="H71" s="46"/>
    </row>
    <row r="72" spans="1:17" ht="15" customHeight="1">
      <c r="A72" s="393" t="s">
        <v>53</v>
      </c>
      <c r="B72" s="259" t="s">
        <v>398</v>
      </c>
      <c r="E72" s="45"/>
      <c r="F72" s="161"/>
      <c r="G72" s="46"/>
      <c r="H72" s="46"/>
    </row>
    <row r="73" spans="1:17" ht="15" customHeight="1">
      <c r="A73" s="393" t="s">
        <v>51</v>
      </c>
      <c r="B73" s="259" t="s">
        <v>399</v>
      </c>
      <c r="E73" s="45"/>
      <c r="F73" s="161"/>
      <c r="G73" s="46"/>
      <c r="H73" s="46"/>
    </row>
    <row r="74" spans="1:17" ht="15" customHeight="1">
      <c r="A74" s="393" t="s">
        <v>32</v>
      </c>
      <c r="B74" s="259" t="s">
        <v>396</v>
      </c>
      <c r="E74" s="45"/>
      <c r="F74" s="161"/>
      <c r="G74" s="46"/>
      <c r="H74" s="46"/>
    </row>
    <row r="75" spans="1:17" ht="15" customHeight="1">
      <c r="A75" s="393" t="s">
        <v>228</v>
      </c>
      <c r="B75" s="259" t="s">
        <v>400</v>
      </c>
      <c r="E75" s="45"/>
      <c r="F75" s="161"/>
      <c r="G75" s="46"/>
      <c r="H75" s="46"/>
    </row>
    <row r="76" spans="1:17" ht="12" customHeight="1">
      <c r="A76" s="393" t="s">
        <v>300</v>
      </c>
      <c r="B76" s="523" t="s">
        <v>401</v>
      </c>
      <c r="C76" s="523"/>
      <c r="D76" s="523"/>
      <c r="E76" s="523"/>
      <c r="F76" s="523"/>
      <c r="G76" s="523"/>
      <c r="H76" s="523"/>
      <c r="I76" s="523"/>
      <c r="J76" s="523"/>
      <c r="K76" s="523"/>
      <c r="L76" s="523"/>
      <c r="M76" s="523"/>
      <c r="N76" s="523"/>
      <c r="O76" s="523"/>
      <c r="P76" s="523"/>
      <c r="Q76" s="523"/>
    </row>
    <row r="77" spans="1:17" ht="15" customHeight="1">
      <c r="A77" s="393"/>
      <c r="B77" s="523"/>
      <c r="C77" s="523"/>
      <c r="D77" s="523"/>
      <c r="E77" s="523"/>
      <c r="F77" s="523"/>
      <c r="G77" s="523"/>
      <c r="H77" s="523"/>
      <c r="I77" s="523"/>
      <c r="J77" s="523"/>
      <c r="K77" s="523"/>
      <c r="L77" s="523"/>
      <c r="M77" s="523"/>
      <c r="N77" s="523"/>
      <c r="O77" s="523"/>
      <c r="P77" s="523"/>
      <c r="Q77" s="523"/>
    </row>
    <row r="78" spans="1:17" ht="15" customHeight="1">
      <c r="A78" s="393" t="s">
        <v>91</v>
      </c>
      <c r="B78" s="259" t="s">
        <v>386</v>
      </c>
      <c r="E78" s="45"/>
      <c r="F78" s="161"/>
      <c r="G78" s="46"/>
      <c r="H78" s="46"/>
    </row>
    <row r="79" spans="1:17" ht="15" customHeight="1">
      <c r="A79" s="393" t="s">
        <v>128</v>
      </c>
      <c r="B79" s="293" t="s">
        <v>229</v>
      </c>
      <c r="E79" s="45"/>
      <c r="F79" s="161"/>
      <c r="G79" s="46"/>
      <c r="H79" s="46"/>
    </row>
    <row r="80" spans="1:17" ht="15" customHeight="1">
      <c r="A80" s="393" t="s">
        <v>307</v>
      </c>
      <c r="B80" s="45" t="s">
        <v>105</v>
      </c>
      <c r="E80" s="45"/>
      <c r="F80" s="161"/>
      <c r="G80" s="46"/>
      <c r="H80" s="46"/>
    </row>
    <row r="81" spans="1:17">
      <c r="A81" s="393" t="s">
        <v>134</v>
      </c>
      <c r="B81" s="259" t="s">
        <v>309</v>
      </c>
    </row>
    <row r="82" spans="1:17" ht="15">
      <c r="A82" s="46"/>
      <c r="C82" s="48"/>
      <c r="D82" s="49"/>
      <c r="E82" s="49"/>
      <c r="F82" s="151"/>
      <c r="G82" s="163"/>
      <c r="H82" s="163"/>
      <c r="I82" s="163"/>
      <c r="J82" s="163"/>
      <c r="K82" s="164"/>
      <c r="L82" s="151"/>
      <c r="M82" s="45"/>
      <c r="N82" s="45"/>
      <c r="O82" s="45"/>
      <c r="P82" s="45"/>
      <c r="Q82" s="45"/>
    </row>
    <row r="83" spans="1:17">
      <c r="E83" s="151"/>
      <c r="F83" s="151"/>
      <c r="G83" s="151"/>
    </row>
    <row r="84" spans="1:17">
      <c r="F84" s="151"/>
      <c r="G84" s="151"/>
    </row>
    <row r="85" spans="1:17">
      <c r="F85" s="151"/>
      <c r="G85" s="151"/>
    </row>
    <row r="86" spans="1:17">
      <c r="F86" s="151"/>
      <c r="G86" s="151"/>
    </row>
    <row r="87" spans="1:17">
      <c r="F87" s="151"/>
      <c r="G87" s="151"/>
    </row>
    <row r="88" spans="1:17">
      <c r="F88" s="151"/>
      <c r="G88" s="151"/>
    </row>
    <row r="89" spans="1:17" ht="10.15" customHeight="1">
      <c r="F89" s="151"/>
      <c r="G89" s="151"/>
    </row>
    <row r="90" spans="1:17">
      <c r="F90" s="151"/>
      <c r="G90" s="151"/>
    </row>
  </sheetData>
  <mergeCells count="5">
    <mergeCell ref="H66:K66"/>
    <mergeCell ref="A6:Q6"/>
    <mergeCell ref="A5:Q5"/>
    <mergeCell ref="P7:P12"/>
    <mergeCell ref="B76:Q77"/>
  </mergeCells>
  <phoneticPr fontId="0" type="noConversion"/>
  <printOptions horizontalCentered="1" gridLinesSet="0"/>
  <pageMargins left="0.5" right="0.5" top="0.5" bottom="0.5" header="0.5" footer="0.19"/>
  <pageSetup scale="47" orientation="portrait" horizontalDpi="300" verticalDpi="300" r:id="rId1"/>
  <headerFooter alignWithMargins="0"/>
  <ignoredErrors>
    <ignoredError sqref="I33 I36:I38 E35" unlockedFormula="1"/>
    <ignoredError sqref="A13:A15" numberStoredAsText="1"/>
    <ignoredError sqref="M61:M62" formula="1"/>
  </ignoredErrors>
</worksheet>
</file>

<file path=xl/worksheets/sheet3.xml><?xml version="1.0" encoding="utf-8"?>
<worksheet xmlns="http://schemas.openxmlformats.org/spreadsheetml/2006/main" xmlns:r="http://schemas.openxmlformats.org/officeDocument/2006/relationships">
  <sheetPr transitionEvaluation="1">
    <pageSetUpPr fitToPage="1"/>
  </sheetPr>
  <dimension ref="A1:AE90"/>
  <sheetViews>
    <sheetView showGridLines="0" zoomScaleNormal="100" zoomScaleSheetLayoutView="85" workbookViewId="0">
      <pane ySplit="12" topLeftCell="A25" activePane="bottomLeft" state="frozenSplit"/>
      <selection activeCell="A22" sqref="A22:XFD22"/>
      <selection pane="bottomLeft" activeCell="D1" sqref="D1:D2"/>
    </sheetView>
  </sheetViews>
  <sheetFormatPr defaultColWidth="9.83203125" defaultRowHeight="11.25"/>
  <cols>
    <col min="1" max="3" width="3.6640625" style="45" customWidth="1"/>
    <col min="4" max="4" width="65.5" style="45" customWidth="1"/>
    <col min="5" max="5" width="12.33203125" style="162" customWidth="1"/>
    <col min="6" max="6" width="12.5" style="162" bestFit="1" customWidth="1"/>
    <col min="7" max="7" width="11.83203125" style="162" bestFit="1" customWidth="1"/>
    <col min="8" max="8" width="12.1640625" style="162" customWidth="1"/>
    <col min="9" max="9" width="11.83203125" style="162" bestFit="1" customWidth="1"/>
    <col min="10" max="10" width="8.83203125" style="162" bestFit="1" customWidth="1"/>
    <col min="11" max="11" width="11.33203125" style="162" bestFit="1" customWidth="1"/>
    <col min="12" max="12" width="8.6640625" style="162" bestFit="1" customWidth="1"/>
    <col min="13" max="13" width="12.6640625" style="162" bestFit="1" customWidth="1"/>
    <col min="14" max="14" width="14.1640625" style="162" bestFit="1" customWidth="1"/>
    <col min="15" max="15" width="10.33203125" style="162" bestFit="1" customWidth="1"/>
    <col min="16" max="16" width="5.1640625" style="162" bestFit="1" customWidth="1"/>
    <col min="17" max="17" width="10.6640625" style="162" customWidth="1"/>
    <col min="18" max="16384" width="9.83203125" style="45"/>
  </cols>
  <sheetData>
    <row r="1" spans="1:31" ht="14.25">
      <c r="D1" s="392"/>
    </row>
    <row r="2" spans="1:31" ht="14.25">
      <c r="D2" s="470"/>
    </row>
    <row r="3" spans="1:31" ht="14.25">
      <c r="D3" s="507"/>
    </row>
    <row r="5" spans="1:31" ht="16.5" customHeight="1">
      <c r="A5" s="519" t="s">
        <v>310</v>
      </c>
      <c r="B5" s="519"/>
      <c r="C5" s="519"/>
      <c r="D5" s="519"/>
      <c r="E5" s="519"/>
      <c r="F5" s="519"/>
      <c r="G5" s="519"/>
      <c r="H5" s="519"/>
      <c r="I5" s="519"/>
      <c r="J5" s="519"/>
      <c r="K5" s="519"/>
      <c r="L5" s="519"/>
      <c r="M5" s="519"/>
      <c r="N5" s="519"/>
      <c r="O5" s="519"/>
      <c r="P5" s="519"/>
      <c r="Q5" s="519"/>
      <c r="S5" s="50"/>
      <c r="T5" s="50"/>
      <c r="U5" s="50"/>
      <c r="V5" s="50"/>
      <c r="W5" s="50"/>
      <c r="X5" s="50"/>
      <c r="Y5" s="50"/>
      <c r="Z5" s="50"/>
      <c r="AA5" s="50"/>
      <c r="AB5" s="50"/>
      <c r="AC5" s="50"/>
      <c r="AD5" s="50"/>
      <c r="AE5" s="50"/>
    </row>
    <row r="6" spans="1:31" ht="15" customHeight="1" thickBot="1">
      <c r="A6" s="519" t="s">
        <v>311</v>
      </c>
      <c r="B6" s="519"/>
      <c r="C6" s="519"/>
      <c r="D6" s="519"/>
      <c r="E6" s="519"/>
      <c r="F6" s="519"/>
      <c r="G6" s="519"/>
      <c r="H6" s="519"/>
      <c r="I6" s="519"/>
      <c r="J6" s="519"/>
      <c r="K6" s="519"/>
      <c r="L6" s="519"/>
      <c r="M6" s="519"/>
      <c r="N6" s="519"/>
      <c r="O6" s="519"/>
      <c r="P6" s="519"/>
      <c r="Q6" s="519"/>
    </row>
    <row r="7" spans="1:31" ht="10.9" customHeight="1">
      <c r="A7" s="51"/>
      <c r="B7" s="52"/>
      <c r="C7" s="52"/>
      <c r="D7" s="53"/>
      <c r="E7" s="54" t="s">
        <v>37</v>
      </c>
      <c r="F7" s="456" t="s">
        <v>0</v>
      </c>
      <c r="G7" s="457" t="s">
        <v>1</v>
      </c>
      <c r="H7" s="457" t="s">
        <v>2</v>
      </c>
      <c r="I7" s="458" t="s">
        <v>3</v>
      </c>
      <c r="J7" s="458" t="s">
        <v>4</v>
      </c>
      <c r="K7" s="458" t="s">
        <v>38</v>
      </c>
      <c r="L7" s="459" t="s">
        <v>301</v>
      </c>
      <c r="M7" s="55"/>
      <c r="N7" s="54"/>
      <c r="O7" s="54"/>
      <c r="P7" s="520" t="s">
        <v>43</v>
      </c>
      <c r="Q7" s="45"/>
    </row>
    <row r="8" spans="1:31" ht="10.9" customHeight="1">
      <c r="A8" s="56"/>
      <c r="B8" s="57"/>
      <c r="C8" s="57"/>
      <c r="D8" s="46"/>
      <c r="E8" s="58" t="s">
        <v>47</v>
      </c>
      <c r="F8" s="455" t="s">
        <v>62</v>
      </c>
      <c r="G8" s="59" t="s">
        <v>39</v>
      </c>
      <c r="H8" s="59" t="s">
        <v>9</v>
      </c>
      <c r="I8" s="58" t="s">
        <v>39</v>
      </c>
      <c r="J8" s="58" t="s">
        <v>40</v>
      </c>
      <c r="K8" s="58" t="s">
        <v>6</v>
      </c>
      <c r="L8" s="61" t="s">
        <v>7</v>
      </c>
      <c r="M8" s="61" t="s">
        <v>41</v>
      </c>
      <c r="N8" s="58" t="s">
        <v>42</v>
      </c>
      <c r="O8" s="58" t="s">
        <v>42</v>
      </c>
      <c r="P8" s="521"/>
      <c r="Q8" s="45"/>
    </row>
    <row r="9" spans="1:31" ht="10.9" customHeight="1">
      <c r="A9" s="56"/>
      <c r="B9" s="57"/>
      <c r="C9" s="57"/>
      <c r="D9" s="46"/>
      <c r="E9" s="58" t="s">
        <v>64</v>
      </c>
      <c r="F9" s="60" t="s">
        <v>63</v>
      </c>
      <c r="G9" s="59" t="s">
        <v>8</v>
      </c>
      <c r="H9" s="59" t="s">
        <v>10</v>
      </c>
      <c r="I9" s="58" t="s">
        <v>44</v>
      </c>
      <c r="J9" s="58" t="s">
        <v>9</v>
      </c>
      <c r="K9" s="58" t="s">
        <v>9</v>
      </c>
      <c r="L9" s="61" t="s">
        <v>9</v>
      </c>
      <c r="M9" s="61" t="s">
        <v>45</v>
      </c>
      <c r="N9" s="58" t="s">
        <v>62</v>
      </c>
      <c r="O9" s="58" t="s">
        <v>84</v>
      </c>
      <c r="P9" s="521"/>
      <c r="Q9" s="45"/>
    </row>
    <row r="10" spans="1:31" ht="10.9" customHeight="1">
      <c r="A10" s="56"/>
      <c r="B10" s="57"/>
      <c r="C10" s="57"/>
      <c r="D10" s="46"/>
      <c r="E10" s="58" t="s">
        <v>12</v>
      </c>
      <c r="F10" s="60" t="s">
        <v>10</v>
      </c>
      <c r="G10" s="59" t="s">
        <v>10</v>
      </c>
      <c r="H10" s="59" t="s">
        <v>47</v>
      </c>
      <c r="I10" s="58" t="s">
        <v>11</v>
      </c>
      <c r="J10" s="58" t="s">
        <v>11</v>
      </c>
      <c r="K10" s="58" t="s">
        <v>11</v>
      </c>
      <c r="L10" s="61" t="s">
        <v>11</v>
      </c>
      <c r="M10" s="61" t="s">
        <v>11</v>
      </c>
      <c r="N10" s="58" t="s">
        <v>63</v>
      </c>
      <c r="O10" s="58" t="s">
        <v>11</v>
      </c>
      <c r="P10" s="521"/>
      <c r="Q10" s="45"/>
    </row>
    <row r="11" spans="1:31" ht="10.9" customHeight="1">
      <c r="A11" s="62"/>
      <c r="B11" s="46"/>
      <c r="C11" s="46"/>
      <c r="D11" s="46"/>
      <c r="E11" s="58" t="s">
        <v>46</v>
      </c>
      <c r="F11" s="60" t="s">
        <v>12</v>
      </c>
      <c r="G11" s="59" t="s">
        <v>47</v>
      </c>
      <c r="H11" s="59" t="s">
        <v>11</v>
      </c>
      <c r="I11" s="226"/>
      <c r="J11" s="63"/>
      <c r="K11" s="63"/>
      <c r="L11" s="64"/>
      <c r="M11" s="65"/>
      <c r="N11" s="58" t="s">
        <v>11</v>
      </c>
      <c r="O11" s="58"/>
      <c r="P11" s="521"/>
      <c r="Q11" s="45"/>
    </row>
    <row r="12" spans="1:31" ht="10.9" customHeight="1" thickBot="1">
      <c r="A12" s="66" t="s">
        <v>13</v>
      </c>
      <c r="B12" s="67"/>
      <c r="C12" s="67"/>
      <c r="D12" s="67"/>
      <c r="E12" s="68" t="s">
        <v>48</v>
      </c>
      <c r="F12" s="70"/>
      <c r="G12" s="69" t="s">
        <v>11</v>
      </c>
      <c r="H12" s="461" t="s">
        <v>302</v>
      </c>
      <c r="I12" s="68"/>
      <c r="J12" s="460" t="s">
        <v>305</v>
      </c>
      <c r="K12" s="460" t="s">
        <v>303</v>
      </c>
      <c r="L12" s="462" t="s">
        <v>304</v>
      </c>
      <c r="M12" s="71"/>
      <c r="N12" s="68"/>
      <c r="O12" s="68"/>
      <c r="P12" s="522"/>
      <c r="Q12" s="45"/>
    </row>
    <row r="13" spans="1:31" ht="15" customHeight="1">
      <c r="A13" s="72" t="s">
        <v>14</v>
      </c>
      <c r="B13" s="73" t="s">
        <v>15</v>
      </c>
      <c r="C13" s="74"/>
      <c r="D13" s="74"/>
      <c r="E13" s="75" t="s">
        <v>129</v>
      </c>
      <c r="F13" s="76"/>
      <c r="G13" s="77"/>
      <c r="H13" s="78">
        <f>E13*$G13</f>
        <v>0</v>
      </c>
      <c r="I13" s="79">
        <v>55</v>
      </c>
      <c r="J13" s="80"/>
      <c r="K13" s="80"/>
      <c r="L13" s="81"/>
      <c r="M13" s="82">
        <f>J13*33+K13*49+L13*15</f>
        <v>0</v>
      </c>
      <c r="N13" s="83"/>
      <c r="O13" s="84"/>
      <c r="P13" s="85"/>
      <c r="Q13" s="45"/>
    </row>
    <row r="14" spans="1:31" ht="15" customHeight="1">
      <c r="A14" s="88" t="s">
        <v>17</v>
      </c>
      <c r="B14" s="30" t="s">
        <v>49</v>
      </c>
      <c r="C14" s="95"/>
      <c r="D14" s="95"/>
      <c r="E14" s="183" t="s">
        <v>129</v>
      </c>
      <c r="F14" s="184"/>
      <c r="G14" s="89"/>
      <c r="H14" s="91">
        <f>E14*$G14</f>
        <v>0</v>
      </c>
      <c r="I14" s="185"/>
      <c r="J14" s="186"/>
      <c r="K14" s="186"/>
      <c r="L14" s="187">
        <f t="shared" ref="L14:L18" si="0">J14*0.1</f>
        <v>0</v>
      </c>
      <c r="M14" s="90">
        <f>J14*33+K14*49+L14*15</f>
        <v>0</v>
      </c>
      <c r="N14" s="91"/>
      <c r="O14" s="92"/>
      <c r="P14" s="93" t="s">
        <v>23</v>
      </c>
      <c r="Q14" s="45"/>
    </row>
    <row r="15" spans="1:31" ht="15" customHeight="1">
      <c r="A15" s="219" t="s">
        <v>20</v>
      </c>
      <c r="B15" s="172" t="s">
        <v>50</v>
      </c>
      <c r="C15" s="168"/>
      <c r="D15" s="168"/>
      <c r="E15" s="190"/>
      <c r="F15" s="190"/>
      <c r="G15" s="180"/>
      <c r="H15" s="191">
        <f>E15*$G15</f>
        <v>0</v>
      </c>
      <c r="I15" s="192"/>
      <c r="J15" s="191">
        <f t="shared" ref="J15:J18" si="1">H15*I15</f>
        <v>0</v>
      </c>
      <c r="K15" s="191">
        <f t="shared" ref="K15:K18" si="2">J15*0.05</f>
        <v>0</v>
      </c>
      <c r="L15" s="191">
        <f t="shared" si="0"/>
        <v>0</v>
      </c>
      <c r="M15" s="191">
        <f>J15*33+K15*49+L15*15</f>
        <v>0</v>
      </c>
      <c r="N15" s="191" t="s">
        <v>23</v>
      </c>
      <c r="O15" s="193"/>
      <c r="P15" s="220"/>
      <c r="Q15" s="45"/>
    </row>
    <row r="16" spans="1:31" ht="15" customHeight="1">
      <c r="A16" s="219"/>
      <c r="B16" s="173" t="s">
        <v>22</v>
      </c>
      <c r="C16" s="172" t="s">
        <v>18</v>
      </c>
      <c r="D16" s="168"/>
      <c r="E16" s="190">
        <v>25</v>
      </c>
      <c r="F16" s="201">
        <v>100</v>
      </c>
      <c r="G16" s="189">
        <v>1</v>
      </c>
      <c r="H16" s="189">
        <f>E16*$G16</f>
        <v>25</v>
      </c>
      <c r="I16" s="194">
        <v>0</v>
      </c>
      <c r="J16" s="195">
        <f t="shared" si="1"/>
        <v>0</v>
      </c>
      <c r="K16" s="195">
        <f t="shared" si="2"/>
        <v>0</v>
      </c>
      <c r="L16" s="195">
        <f t="shared" si="0"/>
        <v>0</v>
      </c>
      <c r="M16" s="110">
        <f>J16*'Hourly Rates'!$E$24+K16*'Hourly Rates'!$E$23+L16*'Hourly Rates'!$E$25</f>
        <v>0</v>
      </c>
      <c r="N16" s="110">
        <f>F16*G16*I16</f>
        <v>0</v>
      </c>
      <c r="O16" s="193">
        <v>0</v>
      </c>
      <c r="P16" s="258" t="s">
        <v>298</v>
      </c>
      <c r="Q16" s="45"/>
    </row>
    <row r="17" spans="1:20" ht="15" customHeight="1">
      <c r="A17" s="222"/>
      <c r="B17" s="173" t="s">
        <v>24</v>
      </c>
      <c r="C17" s="172" t="s">
        <v>21</v>
      </c>
      <c r="D17" s="168"/>
      <c r="E17" s="190"/>
      <c r="F17" s="199"/>
      <c r="G17" s="180"/>
      <c r="H17" s="180"/>
      <c r="I17" s="194"/>
      <c r="J17" s="191">
        <f t="shared" si="1"/>
        <v>0</v>
      </c>
      <c r="K17" s="191">
        <f t="shared" si="2"/>
        <v>0</v>
      </c>
      <c r="L17" s="191">
        <f t="shared" si="0"/>
        <v>0</v>
      </c>
      <c r="M17" s="110"/>
      <c r="N17" s="191"/>
      <c r="O17" s="193"/>
      <c r="P17" s="220"/>
      <c r="Q17" s="45"/>
      <c r="T17" s="96"/>
    </row>
    <row r="18" spans="1:20" ht="15" customHeight="1">
      <c r="A18" s="222"/>
      <c r="B18" s="176"/>
      <c r="C18" s="175" t="s">
        <v>174</v>
      </c>
      <c r="D18" s="170"/>
      <c r="E18" s="190"/>
      <c r="F18" s="199"/>
      <c r="G18" s="180"/>
      <c r="H18" s="180"/>
      <c r="I18" s="194"/>
      <c r="J18" s="191">
        <f t="shared" si="1"/>
        <v>0</v>
      </c>
      <c r="K18" s="191">
        <f t="shared" si="2"/>
        <v>0</v>
      </c>
      <c r="L18" s="191">
        <f t="shared" si="0"/>
        <v>0</v>
      </c>
      <c r="M18" s="110"/>
      <c r="N18" s="191"/>
      <c r="O18" s="193"/>
      <c r="P18" s="220"/>
      <c r="Q18" s="45"/>
      <c r="T18" s="98"/>
    </row>
    <row r="19" spans="1:20" ht="15" customHeight="1">
      <c r="A19" s="222"/>
      <c r="B19" s="176"/>
      <c r="C19" s="175"/>
      <c r="D19" s="262" t="s">
        <v>249</v>
      </c>
      <c r="E19" s="181">
        <v>32</v>
      </c>
      <c r="F19" s="466">
        <f>'Process Vent - T&amp;M Costs'!D23</f>
        <v>51197.739030465607</v>
      </c>
      <c r="G19" s="189">
        <v>1</v>
      </c>
      <c r="H19" s="189">
        <f>E19*$G19</f>
        <v>32</v>
      </c>
      <c r="I19" s="197">
        <v>0</v>
      </c>
      <c r="J19" s="195">
        <f>H19*I19</f>
        <v>0</v>
      </c>
      <c r="K19" s="195">
        <f>J19*0.05</f>
        <v>0</v>
      </c>
      <c r="L19" s="195">
        <f>J19*0.1</f>
        <v>0</v>
      </c>
      <c r="M19" s="110">
        <f>J19*'Hourly Rates'!$E$24+K19*'Hourly Rates'!$E$23+L19*'Hourly Rates'!$E$25</f>
        <v>0</v>
      </c>
      <c r="N19" s="110">
        <f>F19*G19*I19</f>
        <v>0</v>
      </c>
      <c r="O19" s="193">
        <v>0</v>
      </c>
      <c r="P19" s="258" t="s">
        <v>107</v>
      </c>
      <c r="Q19" s="45"/>
      <c r="T19" s="98"/>
    </row>
    <row r="20" spans="1:20" ht="15" customHeight="1">
      <c r="A20" s="222"/>
      <c r="B20" s="176"/>
      <c r="C20" s="175"/>
      <c r="D20" s="403" t="s">
        <v>250</v>
      </c>
      <c r="E20" s="181">
        <v>2</v>
      </c>
      <c r="F20" s="466">
        <f>'Resin T&amp;M Costs'!E10</f>
        <v>1803</v>
      </c>
      <c r="G20" s="189">
        <v>1</v>
      </c>
      <c r="H20" s="189">
        <f>E20*$G20</f>
        <v>2</v>
      </c>
      <c r="I20" s="194">
        <v>0</v>
      </c>
      <c r="J20" s="195">
        <f t="shared" ref="J20:J30" si="3">H20*I20</f>
        <v>0</v>
      </c>
      <c r="K20" s="195">
        <f t="shared" ref="K20:K30" si="4">J20*0.05</f>
        <v>0</v>
      </c>
      <c r="L20" s="195">
        <f t="shared" ref="L20:L23" si="5">J20*0.1</f>
        <v>0</v>
      </c>
      <c r="M20" s="110">
        <f>J20*'Hourly Rates'!$E$24+K20*'Hourly Rates'!$E$23+L20*'Hourly Rates'!$E$25</f>
        <v>0</v>
      </c>
      <c r="N20" s="110">
        <f t="shared" ref="N20:N23" si="6">F20*G20*I20</f>
        <v>0</v>
      </c>
      <c r="O20" s="193">
        <v>0</v>
      </c>
      <c r="P20" s="258" t="s">
        <v>299</v>
      </c>
      <c r="Q20" s="45"/>
      <c r="T20" s="98"/>
    </row>
    <row r="21" spans="1:20" ht="15" customHeight="1">
      <c r="A21" s="222"/>
      <c r="B21" s="176"/>
      <c r="C21" s="175"/>
      <c r="D21" s="403" t="s">
        <v>263</v>
      </c>
      <c r="E21" s="181">
        <v>2</v>
      </c>
      <c r="F21" s="466">
        <v>491</v>
      </c>
      <c r="G21" s="189">
        <v>1</v>
      </c>
      <c r="H21" s="189">
        <f>E21*$G21</f>
        <v>2</v>
      </c>
      <c r="I21" s="194">
        <v>0</v>
      </c>
      <c r="J21" s="195">
        <f t="shared" si="3"/>
        <v>0</v>
      </c>
      <c r="K21" s="195">
        <f t="shared" si="4"/>
        <v>0</v>
      </c>
      <c r="L21" s="195">
        <f t="shared" si="5"/>
        <v>0</v>
      </c>
      <c r="M21" s="110">
        <f>J21*'Hourly Rates'!$E$24+K21*'Hourly Rates'!$E$23+L21*'Hourly Rates'!$E$25</f>
        <v>0</v>
      </c>
      <c r="N21" s="110">
        <f t="shared" si="6"/>
        <v>0</v>
      </c>
      <c r="O21" s="193">
        <v>0</v>
      </c>
      <c r="P21" s="258" t="s">
        <v>306</v>
      </c>
      <c r="Q21" s="45"/>
      <c r="T21" s="98"/>
    </row>
    <row r="22" spans="1:20" ht="15" customHeight="1">
      <c r="A22" s="222"/>
      <c r="B22" s="176"/>
      <c r="C22" s="175"/>
      <c r="D22" s="403" t="s">
        <v>287</v>
      </c>
      <c r="E22" s="438">
        <v>0</v>
      </c>
      <c r="F22" s="466">
        <v>0</v>
      </c>
      <c r="G22" s="189">
        <v>0</v>
      </c>
      <c r="H22" s="189">
        <f>E22*$G22</f>
        <v>0</v>
      </c>
      <c r="I22" s="194">
        <v>0</v>
      </c>
      <c r="J22" s="195">
        <f t="shared" si="3"/>
        <v>0</v>
      </c>
      <c r="K22" s="195">
        <f t="shared" si="4"/>
        <v>0</v>
      </c>
      <c r="L22" s="195">
        <f t="shared" si="5"/>
        <v>0</v>
      </c>
      <c r="M22" s="110">
        <f>J22*'Hourly Rates'!$E$24+K22*'Hourly Rates'!$E$23+L22*'Hourly Rates'!$E$25</f>
        <v>0</v>
      </c>
      <c r="N22" s="110">
        <f t="shared" si="6"/>
        <v>0</v>
      </c>
      <c r="O22" s="193">
        <v>0</v>
      </c>
      <c r="P22" s="258" t="s">
        <v>228</v>
      </c>
      <c r="Q22" s="45"/>
      <c r="T22" s="98"/>
    </row>
    <row r="23" spans="1:20" ht="15" customHeight="1">
      <c r="A23" s="222"/>
      <c r="B23" s="176"/>
      <c r="C23" s="175"/>
      <c r="D23" s="403" t="s">
        <v>288</v>
      </c>
      <c r="E23" s="454">
        <v>2</v>
      </c>
      <c r="F23" s="466">
        <f>'EquipmentLeaks - T&amp;M Costs'!D3</f>
        <v>77797.502752356988</v>
      </c>
      <c r="G23" s="189">
        <v>1</v>
      </c>
      <c r="H23" s="189">
        <f>E23*$G23</f>
        <v>2</v>
      </c>
      <c r="I23" s="194">
        <v>0</v>
      </c>
      <c r="J23" s="195">
        <f t="shared" si="3"/>
        <v>0</v>
      </c>
      <c r="K23" s="195">
        <f t="shared" si="4"/>
        <v>0</v>
      </c>
      <c r="L23" s="195">
        <f t="shared" si="5"/>
        <v>0</v>
      </c>
      <c r="M23" s="110">
        <f>J23*'Hourly Rates'!$E$24+K23*'Hourly Rates'!$E$23+L23*'Hourly Rates'!$E$25</f>
        <v>0</v>
      </c>
      <c r="N23" s="110">
        <f t="shared" si="6"/>
        <v>0</v>
      </c>
      <c r="O23" s="193">
        <v>0</v>
      </c>
      <c r="P23" s="258" t="s">
        <v>300</v>
      </c>
      <c r="Q23" s="45"/>
      <c r="T23" s="98"/>
    </row>
    <row r="24" spans="1:20" ht="15" customHeight="1">
      <c r="A24" s="222"/>
      <c r="B24" s="176"/>
      <c r="C24" s="175" t="s">
        <v>175</v>
      </c>
      <c r="D24" s="170"/>
      <c r="E24" s="190"/>
      <c r="F24" s="201"/>
      <c r="G24" s="189"/>
      <c r="H24" s="189"/>
      <c r="I24" s="197"/>
      <c r="J24" s="195"/>
      <c r="K24" s="195"/>
      <c r="L24" s="195"/>
      <c r="M24" s="110"/>
      <c r="N24" s="110"/>
      <c r="O24" s="193"/>
      <c r="P24" s="258"/>
      <c r="Q24" s="45"/>
      <c r="T24" s="98"/>
    </row>
    <row r="25" spans="1:20" ht="15" customHeight="1">
      <c r="A25" s="222"/>
      <c r="B25" s="176"/>
      <c r="C25" s="175"/>
      <c r="D25" s="262" t="s">
        <v>249</v>
      </c>
      <c r="E25" s="190">
        <v>32</v>
      </c>
      <c r="F25" s="466">
        <f>'Process Vent - T&amp;M Costs'!H23</f>
        <v>48030</v>
      </c>
      <c r="G25" s="189">
        <v>1</v>
      </c>
      <c r="H25" s="189">
        <f>E25*$G25</f>
        <v>32</v>
      </c>
      <c r="I25" s="197">
        <f>14/5</f>
        <v>2.8</v>
      </c>
      <c r="J25" s="195">
        <f t="shared" si="3"/>
        <v>89.6</v>
      </c>
      <c r="K25" s="195">
        <f t="shared" si="4"/>
        <v>4.4799999999999995</v>
      </c>
      <c r="L25" s="195">
        <f t="shared" ref="L25:L30" si="7">J25*0.1</f>
        <v>8.9599999999999991</v>
      </c>
      <c r="M25" s="110">
        <f>J25*'Hourly Rates'!$E$24+K25*'Hourly Rates'!$E$23+L25*'Hourly Rates'!$E$25</f>
        <v>9746.1235199999992</v>
      </c>
      <c r="N25" s="110">
        <f t="shared" ref="N25:N30" si="8">F25*G25*I25</f>
        <v>134484</v>
      </c>
      <c r="O25" s="193">
        <v>0</v>
      </c>
      <c r="P25" s="258" t="s">
        <v>91</v>
      </c>
      <c r="Q25" s="45"/>
      <c r="T25" s="98"/>
    </row>
    <row r="26" spans="1:20" ht="15" customHeight="1">
      <c r="A26" s="222"/>
      <c r="B26" s="176"/>
      <c r="C26" s="175"/>
      <c r="D26" s="403" t="s">
        <v>250</v>
      </c>
      <c r="E26" s="190">
        <v>1</v>
      </c>
      <c r="F26" s="466">
        <f>'Resin T&amp;M Costs'!E19</f>
        <v>601</v>
      </c>
      <c r="G26" s="189">
        <v>12</v>
      </c>
      <c r="H26" s="189">
        <f t="shared" ref="H26:H30" si="9">E26*$G26</f>
        <v>12</v>
      </c>
      <c r="I26" s="197">
        <v>18</v>
      </c>
      <c r="J26" s="195">
        <f t="shared" si="3"/>
        <v>216</v>
      </c>
      <c r="K26" s="195">
        <f t="shared" si="4"/>
        <v>10.8</v>
      </c>
      <c r="L26" s="195">
        <f t="shared" si="7"/>
        <v>21.6</v>
      </c>
      <c r="M26" s="110">
        <f>J26*'Hourly Rates'!$E$24+K26*'Hourly Rates'!$E$23+L26*'Hourly Rates'!$E$25</f>
        <v>23495.119200000001</v>
      </c>
      <c r="N26" s="110">
        <f t="shared" si="8"/>
        <v>129816</v>
      </c>
      <c r="O26" s="193">
        <v>0</v>
      </c>
      <c r="P26" s="258" t="s">
        <v>51</v>
      </c>
      <c r="Q26" s="45"/>
      <c r="T26" s="98"/>
    </row>
    <row r="27" spans="1:20" ht="15" customHeight="1">
      <c r="A27" s="222"/>
      <c r="B27" s="176"/>
      <c r="C27" s="175"/>
      <c r="D27" s="403" t="s">
        <v>263</v>
      </c>
      <c r="E27" s="190">
        <v>1</v>
      </c>
      <c r="F27" s="466">
        <f>SUM('Wastewater T&amp;M Costs'!D4:D5)</f>
        <v>490.5</v>
      </c>
      <c r="G27" s="189">
        <v>12</v>
      </c>
      <c r="H27" s="189">
        <f t="shared" si="9"/>
        <v>12</v>
      </c>
      <c r="I27" s="197">
        <v>15</v>
      </c>
      <c r="J27" s="195">
        <f t="shared" si="3"/>
        <v>180</v>
      </c>
      <c r="K27" s="195">
        <f t="shared" si="4"/>
        <v>9</v>
      </c>
      <c r="L27" s="195">
        <f t="shared" si="7"/>
        <v>18</v>
      </c>
      <c r="M27" s="110">
        <f>J27*'Hourly Rates'!$E$24+K27*'Hourly Rates'!$E$23+L27*'Hourly Rates'!$E$25</f>
        <v>19579.266</v>
      </c>
      <c r="N27" s="110">
        <f t="shared" si="8"/>
        <v>88290</v>
      </c>
      <c r="O27" s="193">
        <v>0</v>
      </c>
      <c r="P27" s="258" t="s">
        <v>32</v>
      </c>
      <c r="Q27" s="45"/>
      <c r="T27" s="98"/>
    </row>
    <row r="28" spans="1:20" ht="15" customHeight="1">
      <c r="A28" s="222"/>
      <c r="B28" s="176"/>
      <c r="C28" s="175"/>
      <c r="D28" s="403" t="s">
        <v>350</v>
      </c>
      <c r="E28" s="190">
        <v>1</v>
      </c>
      <c r="F28" s="466">
        <f>SUM('Wastewater T&amp;M Costs'!D4:D5)</f>
        <v>490.5</v>
      </c>
      <c r="G28" s="189">
        <v>1</v>
      </c>
      <c r="H28" s="189">
        <f t="shared" si="9"/>
        <v>1</v>
      </c>
      <c r="I28" s="197">
        <v>42</v>
      </c>
      <c r="J28" s="195">
        <f t="shared" si="3"/>
        <v>42</v>
      </c>
      <c r="K28" s="195">
        <f t="shared" si="4"/>
        <v>2.1</v>
      </c>
      <c r="L28" s="195">
        <f t="shared" si="7"/>
        <v>4.2</v>
      </c>
      <c r="M28" s="110">
        <f>J28*'Hourly Rates'!$E$24+K28*'Hourly Rates'!$E$23+L28*'Hourly Rates'!$E$25</f>
        <v>4568.4954000000007</v>
      </c>
      <c r="N28" s="110">
        <f t="shared" si="8"/>
        <v>20601</v>
      </c>
      <c r="O28" s="193">
        <v>0</v>
      </c>
      <c r="P28" s="258" t="s">
        <v>32</v>
      </c>
      <c r="Q28" s="45"/>
      <c r="T28" s="98"/>
    </row>
    <row r="29" spans="1:20" ht="15" customHeight="1">
      <c r="A29" s="222"/>
      <c r="B29" s="176"/>
      <c r="C29" s="175"/>
      <c r="D29" s="403" t="s">
        <v>351</v>
      </c>
      <c r="E29" s="190">
        <v>1</v>
      </c>
      <c r="F29" s="466">
        <v>0</v>
      </c>
      <c r="G29" s="189">
        <v>12</v>
      </c>
      <c r="H29" s="189">
        <f t="shared" si="9"/>
        <v>12</v>
      </c>
      <c r="I29" s="197">
        <v>23</v>
      </c>
      <c r="J29" s="195">
        <f t="shared" si="3"/>
        <v>276</v>
      </c>
      <c r="K29" s="195">
        <f t="shared" si="4"/>
        <v>13.8</v>
      </c>
      <c r="L29" s="195">
        <f t="shared" si="7"/>
        <v>27.6</v>
      </c>
      <c r="M29" s="110">
        <f>J29*'Hourly Rates'!$E$24+K29*'Hourly Rates'!$E$23+L29*'Hourly Rates'!$E$25</f>
        <v>30021.5412</v>
      </c>
      <c r="N29" s="110">
        <f>F29*G29*I29</f>
        <v>0</v>
      </c>
      <c r="O29" s="193">
        <v>0</v>
      </c>
      <c r="P29" s="258" t="s">
        <v>228</v>
      </c>
      <c r="Q29" s="45"/>
      <c r="T29" s="98"/>
    </row>
    <row r="30" spans="1:20" ht="15" customHeight="1">
      <c r="A30" s="222"/>
      <c r="B30" s="176"/>
      <c r="C30" s="175"/>
      <c r="D30" s="403" t="s">
        <v>352</v>
      </c>
      <c r="E30" s="440">
        <v>1</v>
      </c>
      <c r="F30" s="466">
        <f>'EquipmentLeaks - T&amp;M Costs'!H3</f>
        <v>18205.054371160684</v>
      </c>
      <c r="G30" s="189">
        <v>1</v>
      </c>
      <c r="H30" s="189">
        <f t="shared" si="9"/>
        <v>1</v>
      </c>
      <c r="I30" s="197">
        <v>13</v>
      </c>
      <c r="J30" s="195">
        <f t="shared" si="3"/>
        <v>13</v>
      </c>
      <c r="K30" s="195">
        <f t="shared" si="4"/>
        <v>0.65</v>
      </c>
      <c r="L30" s="195">
        <f t="shared" si="7"/>
        <v>1.3</v>
      </c>
      <c r="M30" s="110">
        <f>J30*'Hourly Rates'!$E$24+K30*'Hourly Rates'!$E$23+L30*'Hourly Rates'!$E$25</f>
        <v>1414.0581</v>
      </c>
      <c r="N30" s="110">
        <f t="shared" si="8"/>
        <v>236665.70682508888</v>
      </c>
      <c r="O30" s="193">
        <v>0</v>
      </c>
      <c r="P30" s="258" t="s">
        <v>300</v>
      </c>
      <c r="Q30" s="45"/>
      <c r="T30" s="98"/>
    </row>
    <row r="31" spans="1:20" ht="15" customHeight="1">
      <c r="A31" s="222"/>
      <c r="B31" s="178"/>
      <c r="C31" s="175" t="s">
        <v>171</v>
      </c>
      <c r="D31" s="168"/>
      <c r="E31" s="190"/>
      <c r="F31" s="201"/>
      <c r="G31" s="180"/>
      <c r="H31" s="180"/>
      <c r="I31" s="197"/>
      <c r="J31" s="195"/>
      <c r="K31" s="195"/>
      <c r="L31" s="195"/>
      <c r="M31" s="110"/>
      <c r="N31" s="110"/>
      <c r="O31" s="193"/>
      <c r="P31" s="258"/>
      <c r="Q31" s="45"/>
    </row>
    <row r="32" spans="1:20" ht="15" customHeight="1">
      <c r="A32" s="222"/>
      <c r="B32" s="178"/>
      <c r="C32" s="175"/>
      <c r="D32" s="262" t="s">
        <v>249</v>
      </c>
      <c r="E32" s="190">
        <v>3.5</v>
      </c>
      <c r="F32" s="201">
        <v>0</v>
      </c>
      <c r="G32" s="180">
        <v>1</v>
      </c>
      <c r="H32" s="180">
        <f>E32*$G32</f>
        <v>3.5</v>
      </c>
      <c r="I32" s="197">
        <v>0</v>
      </c>
      <c r="J32" s="195">
        <f t="shared" ref="J32" si="10">H32*I32</f>
        <v>0</v>
      </c>
      <c r="K32" s="195">
        <f t="shared" ref="K32" si="11">J32*0.05</f>
        <v>0</v>
      </c>
      <c r="L32" s="195">
        <f t="shared" ref="L32" si="12">J32*0.1</f>
        <v>0</v>
      </c>
      <c r="M32" s="110">
        <f>J32*'Hourly Rates'!$E$24+K32*'Hourly Rates'!$E$23+L32*'Hourly Rates'!$E$25</f>
        <v>0</v>
      </c>
      <c r="N32" s="110">
        <f t="shared" ref="N32:N35" si="13">F32*G32*I32</f>
        <v>0</v>
      </c>
      <c r="O32" s="193">
        <v>0</v>
      </c>
      <c r="P32" s="258" t="s">
        <v>298</v>
      </c>
      <c r="Q32" s="45"/>
    </row>
    <row r="33" spans="1:17" ht="15" customHeight="1">
      <c r="A33" s="222"/>
      <c r="B33" s="178"/>
      <c r="C33" s="175" t="s">
        <v>164</v>
      </c>
      <c r="D33" s="168"/>
      <c r="E33" s="190"/>
      <c r="F33" s="201"/>
      <c r="G33" s="180"/>
      <c r="H33" s="180"/>
      <c r="I33" s="197"/>
      <c r="J33" s="195"/>
      <c r="K33" s="195"/>
      <c r="L33" s="195"/>
      <c r="M33" s="110"/>
      <c r="N33" s="110"/>
      <c r="O33" s="193"/>
      <c r="P33" s="221"/>
      <c r="Q33" s="45"/>
    </row>
    <row r="34" spans="1:17" ht="15" customHeight="1">
      <c r="A34" s="222"/>
      <c r="B34" s="178"/>
      <c r="C34" s="179"/>
      <c r="D34" s="262" t="s">
        <v>289</v>
      </c>
      <c r="E34" s="190">
        <v>0</v>
      </c>
      <c r="F34" s="201">
        <f>'EquipmentLeaks - T&amp;M Costs'!C3</f>
        <v>188913</v>
      </c>
      <c r="G34" s="180">
        <v>1</v>
      </c>
      <c r="H34" s="180">
        <f t="shared" ref="H34:H35" si="14">E34*$G34</f>
        <v>0</v>
      </c>
      <c r="I34" s="197">
        <v>0</v>
      </c>
      <c r="J34" s="195">
        <f t="shared" ref="J34:J35" si="15">H34*I34</f>
        <v>0</v>
      </c>
      <c r="K34" s="195">
        <f t="shared" ref="K34:K35" si="16">J34*0.05</f>
        <v>0</v>
      </c>
      <c r="L34" s="195">
        <f t="shared" ref="L34:L35" si="17">J34*0.1</f>
        <v>0</v>
      </c>
      <c r="M34" s="110">
        <f>J34*'Hourly Rates'!$E$24+K34*'Hourly Rates'!$E$23+L34*'Hourly Rates'!$E$25</f>
        <v>0</v>
      </c>
      <c r="N34" s="110">
        <f t="shared" si="13"/>
        <v>0</v>
      </c>
      <c r="O34" s="193">
        <v>0</v>
      </c>
      <c r="P34" s="258" t="s">
        <v>210</v>
      </c>
      <c r="Q34" s="45"/>
    </row>
    <row r="35" spans="1:17" ht="15" customHeight="1">
      <c r="A35" s="222"/>
      <c r="B35" s="178"/>
      <c r="C35" s="179"/>
      <c r="D35" s="262" t="s">
        <v>290</v>
      </c>
      <c r="E35" s="190">
        <f>'Hourly Rates'!C8</f>
        <v>11</v>
      </c>
      <c r="F35" s="201">
        <f>'EquipmentLeaks - T&amp;M Costs'!I3</f>
        <v>26897</v>
      </c>
      <c r="G35" s="180">
        <v>1</v>
      </c>
      <c r="H35" s="180">
        <f t="shared" si="14"/>
        <v>11</v>
      </c>
      <c r="I35" s="197">
        <v>15</v>
      </c>
      <c r="J35" s="195">
        <f t="shared" si="15"/>
        <v>165</v>
      </c>
      <c r="K35" s="195">
        <f t="shared" si="16"/>
        <v>8.25</v>
      </c>
      <c r="L35" s="195">
        <f t="shared" si="17"/>
        <v>16.5</v>
      </c>
      <c r="M35" s="110">
        <f>J35*'Hourly Rates'!$E$24+K35*'Hourly Rates'!$E$23+L35*'Hourly Rates'!$E$25</f>
        <v>17947.660500000002</v>
      </c>
      <c r="N35" s="110">
        <f t="shared" si="13"/>
        <v>403455</v>
      </c>
      <c r="O35" s="193">
        <v>0</v>
      </c>
      <c r="P35" s="258" t="s">
        <v>57</v>
      </c>
      <c r="Q35" s="45"/>
    </row>
    <row r="36" spans="1:17" ht="15" customHeight="1">
      <c r="A36" s="222"/>
      <c r="B36" s="33" t="s">
        <v>26</v>
      </c>
      <c r="C36" s="172" t="s">
        <v>27</v>
      </c>
      <c r="D36" s="168"/>
      <c r="E36" s="190" t="s">
        <v>130</v>
      </c>
      <c r="F36" s="199"/>
      <c r="G36" s="180"/>
      <c r="H36" s="180"/>
      <c r="I36" s="197"/>
      <c r="J36" s="195"/>
      <c r="K36" s="195"/>
      <c r="L36" s="195"/>
      <c r="M36" s="110"/>
      <c r="N36" s="110"/>
      <c r="O36" s="193"/>
      <c r="P36" s="221"/>
      <c r="Q36" s="45"/>
    </row>
    <row r="37" spans="1:17" ht="15" customHeight="1">
      <c r="A37" s="222"/>
      <c r="B37" s="33" t="s">
        <v>28</v>
      </c>
      <c r="C37" s="172" t="s">
        <v>29</v>
      </c>
      <c r="D37" s="168"/>
      <c r="E37" s="181" t="s">
        <v>131</v>
      </c>
      <c r="F37" s="199"/>
      <c r="G37" s="189"/>
      <c r="H37" s="189"/>
      <c r="I37" s="197"/>
      <c r="J37" s="195"/>
      <c r="K37" s="195"/>
      <c r="L37" s="195"/>
      <c r="M37" s="110"/>
      <c r="N37" s="110"/>
      <c r="O37" s="193"/>
      <c r="P37" s="221"/>
      <c r="Q37" s="45"/>
    </row>
    <row r="38" spans="1:17" ht="15" customHeight="1">
      <c r="A38" s="222"/>
      <c r="B38" s="33" t="s">
        <v>30</v>
      </c>
      <c r="C38" s="172" t="s">
        <v>52</v>
      </c>
      <c r="D38" s="168"/>
      <c r="E38" s="190"/>
      <c r="F38" s="199"/>
      <c r="G38" s="180"/>
      <c r="H38" s="191"/>
      <c r="I38" s="198"/>
      <c r="J38" s="191">
        <f t="shared" ref="J38:J44" si="18">H38*I38</f>
        <v>0</v>
      </c>
      <c r="K38" s="191">
        <f t="shared" ref="K38:K44" si="19">J38*0.05</f>
        <v>0</v>
      </c>
      <c r="L38" s="191">
        <f t="shared" ref="L38:L44" si="20">J38*0.1</f>
        <v>0</v>
      </c>
      <c r="M38" s="110"/>
      <c r="N38" s="191"/>
      <c r="O38" s="193"/>
      <c r="P38" s="220"/>
      <c r="Q38" s="45"/>
    </row>
    <row r="39" spans="1:17" ht="15" customHeight="1">
      <c r="A39" s="222"/>
      <c r="B39" s="33"/>
      <c r="C39" s="174" t="s">
        <v>165</v>
      </c>
      <c r="D39" s="168"/>
      <c r="E39" s="190">
        <v>5</v>
      </c>
      <c r="F39" s="199">
        <v>0</v>
      </c>
      <c r="G39" s="180">
        <v>1</v>
      </c>
      <c r="H39" s="180">
        <f t="shared" ref="H39:H45" si="21">E39*$G39</f>
        <v>5</v>
      </c>
      <c r="I39" s="197">
        <f>$I$16</f>
        <v>0</v>
      </c>
      <c r="J39" s="195">
        <f t="shared" si="18"/>
        <v>0</v>
      </c>
      <c r="K39" s="195">
        <f t="shared" si="19"/>
        <v>0</v>
      </c>
      <c r="L39" s="195">
        <f t="shared" si="20"/>
        <v>0</v>
      </c>
      <c r="M39" s="110">
        <f>J39*'Hourly Rates'!$E$24+K39*'Hourly Rates'!$E$23+L39*'Hourly Rates'!$E$25</f>
        <v>0</v>
      </c>
      <c r="N39" s="110">
        <f t="shared" ref="N39:N45" si="22">F39*G39*I39</f>
        <v>0</v>
      </c>
      <c r="O39" s="193">
        <f t="shared" ref="O39:O45" si="23">G39*I39</f>
        <v>0</v>
      </c>
      <c r="P39" s="258" t="s">
        <v>210</v>
      </c>
      <c r="Q39" s="45"/>
    </row>
    <row r="40" spans="1:17" ht="15" customHeight="1">
      <c r="A40" s="222"/>
      <c r="B40" s="33"/>
      <c r="C40" s="262" t="s">
        <v>200</v>
      </c>
      <c r="D40" s="169"/>
      <c r="E40" s="190">
        <v>5</v>
      </c>
      <c r="F40" s="199">
        <v>0</v>
      </c>
      <c r="G40" s="180">
        <v>1</v>
      </c>
      <c r="H40" s="180">
        <f t="shared" si="21"/>
        <v>5</v>
      </c>
      <c r="I40" s="197">
        <f>$I$16</f>
        <v>0</v>
      </c>
      <c r="J40" s="195">
        <f t="shared" si="18"/>
        <v>0</v>
      </c>
      <c r="K40" s="195">
        <f t="shared" si="19"/>
        <v>0</v>
      </c>
      <c r="L40" s="195">
        <f t="shared" si="20"/>
        <v>0</v>
      </c>
      <c r="M40" s="110">
        <f>J40*'Hourly Rates'!$E$24+K40*'Hourly Rates'!$E$23+L40*'Hourly Rates'!$E$25</f>
        <v>0</v>
      </c>
      <c r="N40" s="110">
        <f t="shared" si="22"/>
        <v>0</v>
      </c>
      <c r="O40" s="193">
        <f t="shared" si="23"/>
        <v>0</v>
      </c>
      <c r="P40" s="258" t="s">
        <v>210</v>
      </c>
      <c r="Q40" s="45"/>
    </row>
    <row r="41" spans="1:17" ht="15" customHeight="1">
      <c r="A41" s="222"/>
      <c r="B41" s="33"/>
      <c r="C41" s="262" t="s">
        <v>201</v>
      </c>
      <c r="D41" s="169"/>
      <c r="E41" s="190">
        <v>10</v>
      </c>
      <c r="F41" s="199">
        <v>0</v>
      </c>
      <c r="G41" s="180">
        <v>1</v>
      </c>
      <c r="H41" s="180">
        <f t="shared" si="21"/>
        <v>10</v>
      </c>
      <c r="I41" s="197">
        <f>$I$16</f>
        <v>0</v>
      </c>
      <c r="J41" s="195">
        <f t="shared" si="18"/>
        <v>0</v>
      </c>
      <c r="K41" s="195">
        <f t="shared" si="19"/>
        <v>0</v>
      </c>
      <c r="L41" s="195">
        <f t="shared" si="20"/>
        <v>0</v>
      </c>
      <c r="M41" s="110">
        <f>J41*'Hourly Rates'!$E$24+K41*'Hourly Rates'!$E$23+L41*'Hourly Rates'!$E$25</f>
        <v>0</v>
      </c>
      <c r="N41" s="110">
        <f t="shared" si="22"/>
        <v>0</v>
      </c>
      <c r="O41" s="193">
        <f t="shared" si="23"/>
        <v>0</v>
      </c>
      <c r="P41" s="258" t="s">
        <v>210</v>
      </c>
      <c r="Q41" s="45"/>
    </row>
    <row r="42" spans="1:17" ht="15" customHeight="1">
      <c r="A42" s="222"/>
      <c r="B42" s="33"/>
      <c r="C42" s="262" t="s">
        <v>202</v>
      </c>
      <c r="D42" s="168"/>
      <c r="E42" s="190">
        <v>20</v>
      </c>
      <c r="F42" s="199">
        <v>0</v>
      </c>
      <c r="G42" s="180">
        <v>1</v>
      </c>
      <c r="H42" s="180">
        <f t="shared" si="21"/>
        <v>20</v>
      </c>
      <c r="I42" s="197">
        <f>$I$16</f>
        <v>0</v>
      </c>
      <c r="J42" s="195">
        <f t="shared" si="18"/>
        <v>0</v>
      </c>
      <c r="K42" s="195">
        <f t="shared" si="19"/>
        <v>0</v>
      </c>
      <c r="L42" s="195">
        <f t="shared" si="20"/>
        <v>0</v>
      </c>
      <c r="M42" s="110">
        <f>J42*'Hourly Rates'!$E$24+K42*'Hourly Rates'!$E$23+L42*'Hourly Rates'!$E$25</f>
        <v>0</v>
      </c>
      <c r="N42" s="110">
        <f t="shared" si="22"/>
        <v>0</v>
      </c>
      <c r="O42" s="193">
        <f t="shared" si="23"/>
        <v>0</v>
      </c>
      <c r="P42" s="258" t="s">
        <v>210</v>
      </c>
      <c r="Q42" s="45"/>
    </row>
    <row r="43" spans="1:17" ht="15" customHeight="1">
      <c r="A43" s="222"/>
      <c r="B43" s="33"/>
      <c r="C43" s="262" t="s">
        <v>203</v>
      </c>
      <c r="D43" s="168"/>
      <c r="E43" s="190">
        <v>25</v>
      </c>
      <c r="F43" s="199">
        <v>0</v>
      </c>
      <c r="G43" s="180">
        <v>1</v>
      </c>
      <c r="H43" s="180">
        <f t="shared" si="21"/>
        <v>25</v>
      </c>
      <c r="I43" s="197">
        <v>15</v>
      </c>
      <c r="J43" s="195">
        <f t="shared" si="18"/>
        <v>375</v>
      </c>
      <c r="K43" s="195">
        <f t="shared" si="19"/>
        <v>18.75</v>
      </c>
      <c r="L43" s="195">
        <f t="shared" si="20"/>
        <v>37.5</v>
      </c>
      <c r="M43" s="110">
        <f>J43*'Hourly Rates'!$E$24+K43*'Hourly Rates'!$E$23+L43*'Hourly Rates'!$E$25</f>
        <v>40790.137499999997</v>
      </c>
      <c r="N43" s="110">
        <f t="shared" si="22"/>
        <v>0</v>
      </c>
      <c r="O43" s="193">
        <f t="shared" si="23"/>
        <v>15</v>
      </c>
      <c r="P43" s="463" t="s">
        <v>308</v>
      </c>
      <c r="Q43" s="45"/>
    </row>
    <row r="44" spans="1:17" ht="15" customHeight="1">
      <c r="A44" s="222"/>
      <c r="B44" s="33"/>
      <c r="C44" s="262" t="s">
        <v>204</v>
      </c>
      <c r="D44" s="168"/>
      <c r="E44" s="190">
        <v>5</v>
      </c>
      <c r="F44" s="199">
        <v>0</v>
      </c>
      <c r="G44" s="180">
        <v>1</v>
      </c>
      <c r="H44" s="180">
        <f t="shared" si="21"/>
        <v>5</v>
      </c>
      <c r="I44" s="197">
        <v>15</v>
      </c>
      <c r="J44" s="195">
        <f t="shared" si="18"/>
        <v>75</v>
      </c>
      <c r="K44" s="195">
        <f t="shared" si="19"/>
        <v>3.75</v>
      </c>
      <c r="L44" s="195">
        <f t="shared" si="20"/>
        <v>7.5</v>
      </c>
      <c r="M44" s="110">
        <f>J44*'Hourly Rates'!$E$24+K44*'Hourly Rates'!$E$23+L44*'Hourly Rates'!$E$25</f>
        <v>8158.0275000000001</v>
      </c>
      <c r="N44" s="110">
        <f t="shared" si="22"/>
        <v>0</v>
      </c>
      <c r="O44" s="193">
        <f t="shared" si="23"/>
        <v>15</v>
      </c>
      <c r="P44" s="463" t="s">
        <v>308</v>
      </c>
      <c r="Q44" s="45"/>
    </row>
    <row r="45" spans="1:17" ht="15" customHeight="1">
      <c r="A45" s="222"/>
      <c r="B45" s="33"/>
      <c r="C45" s="262" t="s">
        <v>205</v>
      </c>
      <c r="D45" s="168"/>
      <c r="E45" s="190">
        <v>18</v>
      </c>
      <c r="F45" s="199">
        <v>0</v>
      </c>
      <c r="G45" s="180">
        <v>1</v>
      </c>
      <c r="H45" s="180">
        <f t="shared" si="21"/>
        <v>18</v>
      </c>
      <c r="I45" s="197">
        <v>0</v>
      </c>
      <c r="J45" s="195">
        <v>18</v>
      </c>
      <c r="K45" s="195">
        <v>12</v>
      </c>
      <c r="L45" s="195">
        <v>0</v>
      </c>
      <c r="M45" s="110">
        <v>0</v>
      </c>
      <c r="N45" s="110">
        <f t="shared" si="22"/>
        <v>0</v>
      </c>
      <c r="O45" s="193">
        <f t="shared" si="23"/>
        <v>0</v>
      </c>
      <c r="P45" s="258" t="s">
        <v>128</v>
      </c>
      <c r="Q45" s="45"/>
    </row>
    <row r="46" spans="1:17" s="46" customFormat="1" ht="15" customHeight="1">
      <c r="A46" s="223" t="s">
        <v>83</v>
      </c>
      <c r="B46" s="171"/>
      <c r="C46" s="171"/>
      <c r="D46" s="168"/>
      <c r="E46" s="190"/>
      <c r="F46" s="199"/>
      <c r="G46" s="189"/>
      <c r="H46" s="189"/>
      <c r="I46" s="189"/>
      <c r="J46" s="195">
        <f>SUM(J13:J44)</f>
        <v>1431.6</v>
      </c>
      <c r="K46" s="195">
        <f>SUM(K13:K44)</f>
        <v>71.580000000000013</v>
      </c>
      <c r="L46" s="195">
        <f>SUM(L13:L44)</f>
        <v>143.16000000000003</v>
      </c>
      <c r="M46" s="110">
        <f>J46*'Hourly Rates'!$E$24+K46*'Hourly Rates'!$E$23+L46*'Hourly Rates'!$E$25</f>
        <v>155720.42891999998</v>
      </c>
      <c r="N46" s="201">
        <f>SUM(N13:N45)-N34</f>
        <v>1013311.7068250889</v>
      </c>
      <c r="O46" s="195">
        <f>SUM(O13:O45)</f>
        <v>30</v>
      </c>
      <c r="P46" s="258" t="s">
        <v>134</v>
      </c>
    </row>
    <row r="47" spans="1:17" ht="15" customHeight="1">
      <c r="A47" s="224" t="s">
        <v>66</v>
      </c>
      <c r="B47" s="34"/>
      <c r="C47" s="225"/>
      <c r="D47" s="31"/>
      <c r="E47" s="107" t="s">
        <v>23</v>
      </c>
      <c r="F47" s="467" t="s">
        <v>23</v>
      </c>
      <c r="G47" s="103" t="s">
        <v>23</v>
      </c>
      <c r="H47" s="103" t="s">
        <v>23</v>
      </c>
      <c r="I47" s="104" t="s">
        <v>23</v>
      </c>
      <c r="J47" s="105" t="s">
        <v>23</v>
      </c>
      <c r="K47" s="105" t="s">
        <v>23</v>
      </c>
      <c r="L47" s="106" t="s">
        <v>23</v>
      </c>
      <c r="M47" s="166"/>
      <c r="N47" s="165" t="s">
        <v>23</v>
      </c>
      <c r="O47" s="188"/>
      <c r="P47" s="167"/>
      <c r="Q47" s="45"/>
    </row>
    <row r="48" spans="1:17" ht="15" customHeight="1">
      <c r="A48" s="97"/>
      <c r="B48" s="35" t="s">
        <v>67</v>
      </c>
      <c r="C48" s="36"/>
      <c r="D48" s="37"/>
      <c r="E48" s="113" t="s">
        <v>132</v>
      </c>
      <c r="F48" s="467" t="s">
        <v>23</v>
      </c>
      <c r="G48" s="103" t="s">
        <v>23</v>
      </c>
      <c r="H48" s="103" t="s">
        <v>23</v>
      </c>
      <c r="I48" s="104" t="s">
        <v>23</v>
      </c>
      <c r="J48" s="105" t="s">
        <v>23</v>
      </c>
      <c r="K48" s="105" t="s">
        <v>23</v>
      </c>
      <c r="L48" s="106" t="s">
        <v>23</v>
      </c>
      <c r="M48" s="110"/>
      <c r="N48" s="110"/>
      <c r="O48" s="114"/>
      <c r="P48" s="115"/>
      <c r="Q48" s="45"/>
    </row>
    <row r="49" spans="1:17" ht="15" customHeight="1">
      <c r="A49" s="116"/>
      <c r="B49" s="38" t="s">
        <v>135</v>
      </c>
      <c r="C49" s="36"/>
      <c r="D49" s="37"/>
      <c r="E49" s="86" t="s">
        <v>129</v>
      </c>
      <c r="F49" s="468"/>
      <c r="G49" s="87"/>
      <c r="H49" s="87"/>
      <c r="I49" s="117"/>
      <c r="J49" s="118"/>
      <c r="K49" s="118"/>
      <c r="L49" s="119"/>
      <c r="M49" s="110"/>
      <c r="N49" s="110"/>
      <c r="O49" s="114"/>
      <c r="P49" s="115"/>
      <c r="Q49" s="45"/>
    </row>
    <row r="50" spans="1:17" ht="15" customHeight="1">
      <c r="A50" s="120"/>
      <c r="B50" s="39" t="s">
        <v>166</v>
      </c>
      <c r="C50" s="30"/>
      <c r="D50" s="95"/>
      <c r="E50" s="132" t="s">
        <v>129</v>
      </c>
      <c r="F50" s="468"/>
      <c r="G50" s="87"/>
      <c r="H50" s="87"/>
      <c r="I50" s="117"/>
      <c r="J50" s="118"/>
      <c r="K50" s="118"/>
      <c r="L50" s="119"/>
      <c r="M50" s="110"/>
      <c r="N50" s="110"/>
      <c r="O50" s="114"/>
      <c r="P50" s="115"/>
      <c r="Q50" s="45"/>
    </row>
    <row r="51" spans="1:17" ht="15" customHeight="1">
      <c r="A51" s="120"/>
      <c r="B51" s="40" t="s">
        <v>167</v>
      </c>
      <c r="C51" s="30"/>
      <c r="D51" s="95"/>
      <c r="E51" s="101"/>
      <c r="F51" s="468"/>
      <c r="G51" s="87"/>
      <c r="H51" s="87"/>
      <c r="I51" s="117"/>
      <c r="J51" s="118"/>
      <c r="K51" s="118"/>
      <c r="L51" s="119"/>
      <c r="M51" s="110"/>
      <c r="N51" s="110"/>
      <c r="O51" s="114"/>
      <c r="P51" s="115"/>
      <c r="Q51" s="45"/>
    </row>
    <row r="52" spans="1:17" ht="15" customHeight="1">
      <c r="A52" s="120"/>
      <c r="B52" s="40"/>
      <c r="C52" s="30" t="s">
        <v>172</v>
      </c>
      <c r="D52" s="95"/>
      <c r="E52" s="102">
        <v>10</v>
      </c>
      <c r="F52" s="468">
        <v>0</v>
      </c>
      <c r="G52" s="122">
        <v>1</v>
      </c>
      <c r="H52" s="123">
        <f t="shared" ref="H52:H58" si="24">E52*$G52</f>
        <v>10</v>
      </c>
      <c r="I52" s="197">
        <v>15</v>
      </c>
      <c r="J52" s="118">
        <f t="shared" ref="J52:J58" si="25">H52*I52</f>
        <v>150</v>
      </c>
      <c r="K52" s="118">
        <f t="shared" ref="K52:K58" si="26">J52*0.05</f>
        <v>7.5</v>
      </c>
      <c r="L52" s="119">
        <f t="shared" ref="L52:L58" si="27">J52*0.1</f>
        <v>15</v>
      </c>
      <c r="M52" s="108">
        <f>J52*'Hourly Rates'!$E$24+K52*'Hourly Rates'!$E$23+L52*'Hourly Rates'!$E$25</f>
        <v>16316.055</v>
      </c>
      <c r="N52" s="108">
        <f t="shared" ref="N52:N58" si="28">F52*G52*I52</f>
        <v>0</v>
      </c>
      <c r="O52" s="111">
        <v>0</v>
      </c>
      <c r="P52" s="463" t="s">
        <v>308</v>
      </c>
      <c r="Q52" s="45"/>
    </row>
    <row r="53" spans="1:17" ht="15" customHeight="1">
      <c r="A53" s="124"/>
      <c r="B53" s="41"/>
      <c r="C53" s="263" t="s">
        <v>291</v>
      </c>
      <c r="D53" s="95"/>
      <c r="E53" s="101">
        <v>15</v>
      </c>
      <c r="F53" s="468">
        <v>0</v>
      </c>
      <c r="G53" s="122">
        <v>1</v>
      </c>
      <c r="H53" s="123">
        <f t="shared" si="24"/>
        <v>15</v>
      </c>
      <c r="I53" s="197">
        <v>15</v>
      </c>
      <c r="J53" s="118">
        <f t="shared" si="25"/>
        <v>225</v>
      </c>
      <c r="K53" s="118">
        <f t="shared" si="26"/>
        <v>11.25</v>
      </c>
      <c r="L53" s="119">
        <f t="shared" si="27"/>
        <v>22.5</v>
      </c>
      <c r="M53" s="99">
        <f>J53*'Hourly Rates'!$E$24+K53*'Hourly Rates'!$E$23+L53*'Hourly Rates'!$E$25</f>
        <v>24474.082499999997</v>
      </c>
      <c r="N53" s="100">
        <f t="shared" si="28"/>
        <v>0</v>
      </c>
      <c r="O53" s="125">
        <v>0</v>
      </c>
      <c r="P53" s="464" t="s">
        <v>308</v>
      </c>
      <c r="Q53" s="45"/>
    </row>
    <row r="54" spans="1:17" ht="15" customHeight="1">
      <c r="A54" s="126"/>
      <c r="B54" s="42"/>
      <c r="C54" s="263" t="s">
        <v>292</v>
      </c>
      <c r="D54" s="95"/>
      <c r="E54" s="101">
        <v>15</v>
      </c>
      <c r="F54" s="468">
        <v>0</v>
      </c>
      <c r="G54" s="122">
        <v>1</v>
      </c>
      <c r="H54" s="123">
        <f t="shared" si="24"/>
        <v>15</v>
      </c>
      <c r="I54" s="197">
        <v>15</v>
      </c>
      <c r="J54" s="118">
        <f t="shared" si="25"/>
        <v>225</v>
      </c>
      <c r="K54" s="118">
        <f t="shared" si="26"/>
        <v>11.25</v>
      </c>
      <c r="L54" s="119">
        <f t="shared" si="27"/>
        <v>22.5</v>
      </c>
      <c r="M54" s="99">
        <f>J54*'Hourly Rates'!$E$24+K54*'Hourly Rates'!$E$23+L54*'Hourly Rates'!$E$25</f>
        <v>24474.082499999997</v>
      </c>
      <c r="N54" s="100">
        <f t="shared" si="28"/>
        <v>0</v>
      </c>
      <c r="O54" s="125">
        <v>0</v>
      </c>
      <c r="P54" s="464" t="s">
        <v>308</v>
      </c>
      <c r="Q54" s="45"/>
    </row>
    <row r="55" spans="1:17" ht="15" customHeight="1">
      <c r="A55" s="126"/>
      <c r="B55" s="39"/>
      <c r="C55" s="263" t="s">
        <v>293</v>
      </c>
      <c r="D55" s="95"/>
      <c r="E55" s="102">
        <v>10</v>
      </c>
      <c r="F55" s="468">
        <v>0</v>
      </c>
      <c r="G55" s="122">
        <v>1</v>
      </c>
      <c r="H55" s="123">
        <f t="shared" si="24"/>
        <v>10</v>
      </c>
      <c r="I55" s="197">
        <v>15</v>
      </c>
      <c r="J55" s="118">
        <f t="shared" si="25"/>
        <v>150</v>
      </c>
      <c r="K55" s="118">
        <f t="shared" si="26"/>
        <v>7.5</v>
      </c>
      <c r="L55" s="119">
        <f t="shared" si="27"/>
        <v>15</v>
      </c>
      <c r="M55" s="99">
        <f>J55*'Hourly Rates'!$E$24+K55*'Hourly Rates'!$E$23+L55*'Hourly Rates'!$E$25</f>
        <v>16316.055</v>
      </c>
      <c r="N55" s="100">
        <f t="shared" si="28"/>
        <v>0</v>
      </c>
      <c r="O55" s="114">
        <v>0</v>
      </c>
      <c r="P55" s="464" t="s">
        <v>308</v>
      </c>
      <c r="Q55" s="45"/>
    </row>
    <row r="56" spans="1:17" ht="15" customHeight="1">
      <c r="A56" s="126"/>
      <c r="B56" s="39"/>
      <c r="C56" s="441" t="s">
        <v>294</v>
      </c>
      <c r="D56" s="109"/>
      <c r="E56" s="127">
        <v>25</v>
      </c>
      <c r="F56" s="468">
        <v>0</v>
      </c>
      <c r="G56" s="122">
        <v>1</v>
      </c>
      <c r="H56" s="123">
        <f t="shared" si="24"/>
        <v>25</v>
      </c>
      <c r="I56" s="197">
        <v>15</v>
      </c>
      <c r="J56" s="118">
        <f t="shared" si="25"/>
        <v>375</v>
      </c>
      <c r="K56" s="118">
        <f t="shared" si="26"/>
        <v>18.75</v>
      </c>
      <c r="L56" s="119">
        <f t="shared" si="27"/>
        <v>37.5</v>
      </c>
      <c r="M56" s="99">
        <f>J56*'Hourly Rates'!$E$24+K56*'Hourly Rates'!$E$23+L56*'Hourly Rates'!$E$25</f>
        <v>40790.137499999997</v>
      </c>
      <c r="N56" s="452">
        <f t="shared" si="28"/>
        <v>0</v>
      </c>
      <c r="O56" s="193">
        <v>0</v>
      </c>
      <c r="P56" s="464" t="s">
        <v>308</v>
      </c>
      <c r="Q56" s="45"/>
    </row>
    <row r="57" spans="1:17" ht="15" customHeight="1">
      <c r="A57" s="128"/>
      <c r="B57" s="37"/>
      <c r="C57" s="442" t="s">
        <v>295</v>
      </c>
      <c r="D57" s="129"/>
      <c r="E57" s="444">
        <v>10</v>
      </c>
      <c r="F57" s="469">
        <v>0</v>
      </c>
      <c r="G57" s="445">
        <v>1</v>
      </c>
      <c r="H57" s="446">
        <f t="shared" si="24"/>
        <v>10</v>
      </c>
      <c r="I57" s="447">
        <v>15</v>
      </c>
      <c r="J57" s="448">
        <f t="shared" si="25"/>
        <v>150</v>
      </c>
      <c r="K57" s="448">
        <f t="shared" si="26"/>
        <v>7.5</v>
      </c>
      <c r="L57" s="449">
        <f t="shared" si="27"/>
        <v>15</v>
      </c>
      <c r="M57" s="99">
        <f>J57*'Hourly Rates'!$E$24+K57*'Hourly Rates'!$E$23+L57*'Hourly Rates'!$E$25</f>
        <v>16316.055</v>
      </c>
      <c r="N57" s="453">
        <f t="shared" si="28"/>
        <v>0</v>
      </c>
      <c r="O57" s="193">
        <v>0</v>
      </c>
      <c r="P57" s="464" t="s">
        <v>308</v>
      </c>
      <c r="Q57" s="45"/>
    </row>
    <row r="58" spans="1:17" ht="15" customHeight="1">
      <c r="A58" s="177"/>
      <c r="B58" s="176"/>
      <c r="C58" s="443" t="s">
        <v>296</v>
      </c>
      <c r="D58" s="176"/>
      <c r="E58" s="181">
        <v>10</v>
      </c>
      <c r="F58" s="469">
        <v>0</v>
      </c>
      <c r="G58" s="445">
        <v>1</v>
      </c>
      <c r="H58" s="446">
        <f t="shared" si="24"/>
        <v>10</v>
      </c>
      <c r="I58" s="447">
        <v>15</v>
      </c>
      <c r="J58" s="448">
        <f t="shared" si="25"/>
        <v>150</v>
      </c>
      <c r="K58" s="448">
        <f t="shared" si="26"/>
        <v>7.5</v>
      </c>
      <c r="L58" s="449">
        <f t="shared" si="27"/>
        <v>15</v>
      </c>
      <c r="M58" s="99">
        <f>J58*'Hourly Rates'!$E$24+K58*'Hourly Rates'!$E$23+L58*'Hourly Rates'!$E$25</f>
        <v>16316.055</v>
      </c>
      <c r="N58" s="453">
        <f t="shared" si="28"/>
        <v>0</v>
      </c>
      <c r="O58" s="193">
        <v>0</v>
      </c>
      <c r="P58" s="464" t="s">
        <v>308</v>
      </c>
      <c r="Q58" s="45"/>
    </row>
    <row r="59" spans="1:17" ht="15" customHeight="1">
      <c r="A59" s="126"/>
      <c r="B59" s="42" t="s">
        <v>168</v>
      </c>
      <c r="C59" s="32"/>
      <c r="D59" s="32"/>
      <c r="E59" s="181" t="s">
        <v>130</v>
      </c>
      <c r="F59" s="200" t="s">
        <v>23</v>
      </c>
      <c r="G59" s="189"/>
      <c r="H59" s="189"/>
      <c r="I59" s="189"/>
      <c r="J59" s="195"/>
      <c r="K59" s="195"/>
      <c r="L59" s="195" t="s">
        <v>23</v>
      </c>
      <c r="M59" s="110"/>
      <c r="N59" s="110"/>
      <c r="O59" s="193"/>
      <c r="P59" s="130"/>
      <c r="Q59" s="45"/>
    </row>
    <row r="60" spans="1:17" ht="15" customHeight="1">
      <c r="A60" s="131"/>
      <c r="B60" s="37" t="s">
        <v>169</v>
      </c>
      <c r="C60" s="37"/>
      <c r="D60" s="129"/>
      <c r="E60" s="450" t="s">
        <v>129</v>
      </c>
      <c r="F60" s="261"/>
      <c r="G60" s="261"/>
      <c r="H60" s="261"/>
      <c r="I60" s="261"/>
      <c r="J60" s="261"/>
      <c r="K60" s="261"/>
      <c r="L60" s="261"/>
      <c r="M60" s="94"/>
      <c r="N60" s="451"/>
      <c r="O60" s="133"/>
      <c r="P60" s="134"/>
      <c r="Q60" s="45"/>
    </row>
    <row r="61" spans="1:17" ht="15" customHeight="1" thickBot="1">
      <c r="A61" s="112" t="s">
        <v>82</v>
      </c>
      <c r="B61" s="43"/>
      <c r="C61" s="43"/>
      <c r="D61" s="43"/>
      <c r="E61" s="135"/>
      <c r="F61" s="135"/>
      <c r="G61" s="135"/>
      <c r="H61" s="135"/>
      <c r="I61" s="135"/>
      <c r="J61" s="135">
        <f>SUM(J48:J60)</f>
        <v>1425</v>
      </c>
      <c r="K61" s="135">
        <f>SUM(K48:K60)</f>
        <v>71.25</v>
      </c>
      <c r="L61" s="135">
        <f>SUM(L48:L60)</f>
        <v>142.5</v>
      </c>
      <c r="M61" s="136">
        <f>J61*'Hourly Rates'!$E$24+K61*'Hourly Rates'!$E$23+L61*'Hourly Rates'!$E$25</f>
        <v>155002.52249999999</v>
      </c>
      <c r="N61" s="137">
        <f>SUM(N48:N60)</f>
        <v>0</v>
      </c>
      <c r="O61" s="138">
        <f>SUM(O48:O60)</f>
        <v>0</v>
      </c>
      <c r="P61" s="465"/>
      <c r="Q61" s="45"/>
    </row>
    <row r="62" spans="1:17" ht="15" customHeight="1" thickBot="1">
      <c r="A62" s="139" t="s">
        <v>54</v>
      </c>
      <c r="B62" s="140"/>
      <c r="C62" s="140"/>
      <c r="D62" s="140"/>
      <c r="E62" s="141"/>
      <c r="F62" s="141"/>
      <c r="G62" s="141"/>
      <c r="H62" s="141"/>
      <c r="I62" s="142"/>
      <c r="J62" s="143">
        <f>SUM(J46,J61)</f>
        <v>2856.6</v>
      </c>
      <c r="K62" s="143">
        <f>SUM(K46,K61)</f>
        <v>142.83000000000001</v>
      </c>
      <c r="L62" s="143">
        <f>SUM(L46,L61)</f>
        <v>285.66000000000003</v>
      </c>
      <c r="M62" s="144">
        <f>J62*'Hourly Rates'!$E$24+K62*'Hourly Rates'!$E$23+L62*'Hourly Rates'!$E$25</f>
        <v>310722.95142</v>
      </c>
      <c r="N62" s="145">
        <f>SUM(N46,N61)</f>
        <v>1013311.7068250889</v>
      </c>
      <c r="O62" s="143">
        <f>SUM(O46,O61)</f>
        <v>30</v>
      </c>
      <c r="P62" s="146"/>
      <c r="Q62" s="45"/>
    </row>
    <row r="63" spans="1:17" ht="15" customHeight="1">
      <c r="A63" s="147"/>
      <c r="B63" s="29"/>
      <c r="C63" s="29"/>
      <c r="D63" s="29"/>
      <c r="E63" s="148"/>
      <c r="F63" s="148"/>
      <c r="G63" s="148"/>
      <c r="H63" s="148"/>
      <c r="I63" s="148"/>
      <c r="J63" s="149"/>
      <c r="K63" s="149" t="s">
        <v>55</v>
      </c>
      <c r="L63" s="149" t="s">
        <v>61</v>
      </c>
      <c r="M63" s="150" t="s">
        <v>62</v>
      </c>
      <c r="N63" s="150" t="s">
        <v>41</v>
      </c>
      <c r="O63" s="151"/>
      <c r="P63" s="152"/>
    </row>
    <row r="64" spans="1:17" ht="15" customHeight="1">
      <c r="A64" s="147"/>
      <c r="B64" s="29"/>
      <c r="C64" s="29"/>
      <c r="D64" s="29"/>
      <c r="E64" s="148"/>
      <c r="F64" s="148"/>
      <c r="G64" s="148"/>
      <c r="H64" s="400" t="s">
        <v>60</v>
      </c>
      <c r="I64" s="148"/>
      <c r="J64" s="149"/>
      <c r="K64" s="149">
        <f>SUM(J62:L62)</f>
        <v>3285.0899999999997</v>
      </c>
      <c r="L64" s="154">
        <f>M62</f>
        <v>310722.95142</v>
      </c>
      <c r="M64" s="154">
        <f>N62</f>
        <v>1013311.7068250889</v>
      </c>
      <c r="N64" s="154">
        <f>SUM(L64:M64)</f>
        <v>1324034.658245089</v>
      </c>
      <c r="O64" s="151"/>
      <c r="P64" s="152"/>
    </row>
    <row r="65" spans="1:17" ht="15" customHeight="1">
      <c r="A65" s="147"/>
      <c r="B65" s="29"/>
      <c r="C65" s="29"/>
      <c r="D65" s="29"/>
      <c r="E65" s="148"/>
      <c r="F65" s="148"/>
      <c r="G65" s="148"/>
      <c r="H65" s="400" t="s">
        <v>112</v>
      </c>
      <c r="I65" s="148"/>
      <c r="J65" s="149"/>
      <c r="K65" s="149" t="s">
        <v>23</v>
      </c>
      <c r="L65" s="154"/>
      <c r="M65" s="154">
        <f>N34+N16</f>
        <v>0</v>
      </c>
      <c r="N65" s="154"/>
      <c r="O65" s="151"/>
      <c r="P65" s="152"/>
    </row>
    <row r="66" spans="1:17" ht="15" customHeight="1">
      <c r="A66" s="147"/>
      <c r="B66" s="29"/>
      <c r="C66" s="29"/>
      <c r="D66" s="29"/>
      <c r="E66" s="148"/>
      <c r="F66" s="148"/>
      <c r="G66" s="148"/>
      <c r="H66" s="518" t="s">
        <v>113</v>
      </c>
      <c r="I66" s="518"/>
      <c r="J66" s="518"/>
      <c r="K66" s="518"/>
      <c r="L66" s="154" t="s">
        <v>23</v>
      </c>
      <c r="M66" s="154">
        <f>N46</f>
        <v>1013311.7068250889</v>
      </c>
      <c r="N66" s="154"/>
      <c r="O66" s="151"/>
      <c r="P66" s="152"/>
    </row>
    <row r="67" spans="1:17" ht="15" customHeight="1" thickBot="1">
      <c r="A67" s="44"/>
      <c r="B67" s="155"/>
      <c r="C67" s="43"/>
      <c r="D67" s="43"/>
      <c r="E67" s="156"/>
      <c r="F67" s="156"/>
      <c r="G67" s="156"/>
      <c r="H67" s="156"/>
      <c r="I67" s="156"/>
      <c r="J67" s="157"/>
      <c r="K67" s="157"/>
      <c r="L67" s="157"/>
      <c r="M67" s="157"/>
      <c r="N67" s="158"/>
      <c r="O67" s="158"/>
      <c r="P67" s="159"/>
    </row>
    <row r="68" spans="1:17" ht="15" customHeight="1">
      <c r="A68" s="45" t="s">
        <v>68</v>
      </c>
      <c r="B68" s="46"/>
      <c r="D68" s="160"/>
      <c r="E68" s="161"/>
      <c r="F68" s="161"/>
      <c r="G68" s="46"/>
      <c r="H68" s="46"/>
    </row>
    <row r="69" spans="1:17" ht="15" customHeight="1">
      <c r="A69" s="47" t="s">
        <v>56</v>
      </c>
      <c r="B69" s="45" t="s">
        <v>58</v>
      </c>
      <c r="E69" s="45"/>
      <c r="F69" s="161"/>
      <c r="G69" s="46"/>
      <c r="H69" s="46"/>
    </row>
    <row r="70" spans="1:17" ht="15" customHeight="1">
      <c r="A70" s="47" t="s">
        <v>57</v>
      </c>
      <c r="B70" s="45" t="s">
        <v>104</v>
      </c>
      <c r="E70" s="45"/>
      <c r="F70" s="161"/>
      <c r="G70" s="46"/>
      <c r="H70" s="46"/>
    </row>
    <row r="71" spans="1:17" ht="15" customHeight="1">
      <c r="A71" s="393" t="s">
        <v>19</v>
      </c>
      <c r="B71" s="259" t="s">
        <v>397</v>
      </c>
      <c r="E71" s="45"/>
      <c r="F71" s="161"/>
      <c r="G71" s="46"/>
      <c r="H71" s="46"/>
    </row>
    <row r="72" spans="1:17" ht="15" customHeight="1">
      <c r="A72" s="393" t="s">
        <v>53</v>
      </c>
      <c r="B72" s="259" t="s">
        <v>398</v>
      </c>
      <c r="E72" s="45"/>
      <c r="F72" s="161"/>
      <c r="G72" s="46"/>
      <c r="H72" s="46"/>
    </row>
    <row r="73" spans="1:17" ht="15" customHeight="1">
      <c r="A73" s="393" t="s">
        <v>51</v>
      </c>
      <c r="B73" s="259" t="s">
        <v>399</v>
      </c>
      <c r="E73" s="45"/>
      <c r="F73" s="161"/>
      <c r="G73" s="46"/>
      <c r="H73" s="46"/>
    </row>
    <row r="74" spans="1:17" ht="15" customHeight="1">
      <c r="A74" s="393" t="s">
        <v>32</v>
      </c>
      <c r="B74" s="259" t="s">
        <v>396</v>
      </c>
      <c r="E74" s="45"/>
      <c r="F74" s="161"/>
      <c r="G74" s="46"/>
      <c r="H74" s="46"/>
    </row>
    <row r="75" spans="1:17" ht="15" customHeight="1">
      <c r="A75" s="393" t="s">
        <v>228</v>
      </c>
      <c r="B75" s="259" t="s">
        <v>400</v>
      </c>
      <c r="E75" s="45"/>
      <c r="F75" s="161"/>
      <c r="G75" s="46"/>
      <c r="H75" s="46"/>
    </row>
    <row r="76" spans="1:17" ht="12" customHeight="1">
      <c r="A76" s="393" t="s">
        <v>300</v>
      </c>
      <c r="B76" s="523" t="s">
        <v>401</v>
      </c>
      <c r="C76" s="523"/>
      <c r="D76" s="523"/>
      <c r="E76" s="523"/>
      <c r="F76" s="523"/>
      <c r="G76" s="523"/>
      <c r="H76" s="523"/>
      <c r="I76" s="523"/>
      <c r="J76" s="523"/>
      <c r="K76" s="523"/>
      <c r="L76" s="523"/>
      <c r="M76" s="523"/>
      <c r="N76" s="523"/>
      <c r="O76" s="523"/>
      <c r="P76" s="523"/>
      <c r="Q76" s="523"/>
    </row>
    <row r="77" spans="1:17" ht="15" customHeight="1">
      <c r="A77" s="393"/>
      <c r="B77" s="523"/>
      <c r="C77" s="523"/>
      <c r="D77" s="523"/>
      <c r="E77" s="523"/>
      <c r="F77" s="523"/>
      <c r="G77" s="523"/>
      <c r="H77" s="523"/>
      <c r="I77" s="523"/>
      <c r="J77" s="523"/>
      <c r="K77" s="523"/>
      <c r="L77" s="523"/>
      <c r="M77" s="523"/>
      <c r="N77" s="523"/>
      <c r="O77" s="523"/>
      <c r="P77" s="523"/>
      <c r="Q77" s="523"/>
    </row>
    <row r="78" spans="1:17" ht="15" customHeight="1">
      <c r="A78" s="393" t="s">
        <v>91</v>
      </c>
      <c r="B78" s="259" t="s">
        <v>386</v>
      </c>
      <c r="E78" s="45"/>
      <c r="F78" s="161"/>
      <c r="G78" s="46"/>
      <c r="H78" s="46"/>
    </row>
    <row r="79" spans="1:17" ht="15" customHeight="1">
      <c r="A79" s="393" t="s">
        <v>128</v>
      </c>
      <c r="B79" s="293" t="s">
        <v>229</v>
      </c>
      <c r="E79" s="45"/>
      <c r="F79" s="161"/>
      <c r="G79" s="46"/>
      <c r="H79" s="46"/>
    </row>
    <row r="80" spans="1:17" ht="15" customHeight="1">
      <c r="A80" s="393" t="s">
        <v>307</v>
      </c>
      <c r="B80" s="45" t="s">
        <v>105</v>
      </c>
      <c r="E80" s="45"/>
      <c r="F80" s="161"/>
      <c r="G80" s="46"/>
      <c r="H80" s="46"/>
    </row>
    <row r="81" spans="1:17">
      <c r="A81" s="393" t="s">
        <v>134</v>
      </c>
      <c r="B81" s="259" t="s">
        <v>309</v>
      </c>
    </row>
    <row r="82" spans="1:17" ht="15">
      <c r="A82" s="46"/>
      <c r="C82" s="48"/>
      <c r="D82" s="49"/>
      <c r="E82" s="49"/>
      <c r="F82" s="151"/>
      <c r="G82" s="163"/>
      <c r="H82" s="163"/>
      <c r="I82" s="163"/>
      <c r="J82" s="163"/>
      <c r="K82" s="164"/>
      <c r="L82" s="151"/>
      <c r="M82" s="45"/>
      <c r="N82" s="45"/>
      <c r="O82" s="45"/>
      <c r="P82" s="45"/>
      <c r="Q82" s="45"/>
    </row>
    <row r="83" spans="1:17">
      <c r="E83" s="151"/>
      <c r="F83" s="151"/>
      <c r="G83" s="151"/>
    </row>
    <row r="84" spans="1:17">
      <c r="F84" s="151"/>
      <c r="G84" s="151"/>
    </row>
    <row r="85" spans="1:17">
      <c r="F85" s="151"/>
      <c r="G85" s="151"/>
    </row>
    <row r="86" spans="1:17">
      <c r="F86" s="151"/>
      <c r="G86" s="151"/>
    </row>
    <row r="87" spans="1:17">
      <c r="F87" s="151"/>
      <c r="G87" s="151"/>
    </row>
    <row r="88" spans="1:17">
      <c r="F88" s="151"/>
      <c r="G88" s="151"/>
    </row>
    <row r="89" spans="1:17" ht="10.15" customHeight="1">
      <c r="F89" s="151"/>
      <c r="G89" s="151"/>
    </row>
    <row r="90" spans="1:17">
      <c r="F90" s="151"/>
      <c r="G90" s="151"/>
    </row>
  </sheetData>
  <mergeCells count="5">
    <mergeCell ref="A5:Q5"/>
    <mergeCell ref="A6:Q6"/>
    <mergeCell ref="P7:P12"/>
    <mergeCell ref="H66:K66"/>
    <mergeCell ref="B76:Q77"/>
  </mergeCells>
  <printOptions horizontalCentered="1" gridLinesSet="0"/>
  <pageMargins left="0.5" right="0.5" top="0.5" bottom="0.5" header="0.5" footer="0.19"/>
  <pageSetup scale="4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transitionEvaluation="1">
    <pageSetUpPr fitToPage="1"/>
  </sheetPr>
  <dimension ref="A1:AE90"/>
  <sheetViews>
    <sheetView showGridLines="0" zoomScaleNormal="100" zoomScaleSheetLayoutView="85" workbookViewId="0">
      <pane ySplit="12" topLeftCell="A28" activePane="bottomLeft" state="frozenSplit"/>
      <selection activeCell="D2" sqref="D2"/>
      <selection pane="bottomLeft" activeCell="D1" sqref="D1:D2"/>
    </sheetView>
  </sheetViews>
  <sheetFormatPr defaultColWidth="9.83203125" defaultRowHeight="11.25"/>
  <cols>
    <col min="1" max="3" width="3.6640625" style="45" customWidth="1"/>
    <col min="4" max="4" width="65.5" style="45" customWidth="1"/>
    <col min="5" max="5" width="12.33203125" style="162" customWidth="1"/>
    <col min="6" max="6" width="12.5" style="162" bestFit="1" customWidth="1"/>
    <col min="7" max="7" width="11.83203125" style="162" bestFit="1" customWidth="1"/>
    <col min="8" max="8" width="12.1640625" style="162" customWidth="1"/>
    <col min="9" max="9" width="11.83203125" style="162" bestFit="1" customWidth="1"/>
    <col min="10" max="10" width="8.83203125" style="162" bestFit="1" customWidth="1"/>
    <col min="11" max="11" width="11.33203125" style="162" bestFit="1" customWidth="1"/>
    <col min="12" max="12" width="8.6640625" style="162" bestFit="1" customWidth="1"/>
    <col min="13" max="13" width="12.6640625" style="162" bestFit="1" customWidth="1"/>
    <col min="14" max="14" width="14.1640625" style="162" bestFit="1" customWidth="1"/>
    <col min="15" max="15" width="10.33203125" style="162" bestFit="1" customWidth="1"/>
    <col min="16" max="16" width="5.1640625" style="162" bestFit="1" customWidth="1"/>
    <col min="17" max="17" width="10.6640625" style="162" customWidth="1"/>
    <col min="18" max="16384" width="9.83203125" style="45"/>
  </cols>
  <sheetData>
    <row r="1" spans="1:31" ht="14.25">
      <c r="D1" s="392"/>
    </row>
    <row r="2" spans="1:31" ht="14.25">
      <c r="D2" s="470"/>
    </row>
    <row r="3" spans="1:31" ht="14.25">
      <c r="D3" s="507"/>
    </row>
    <row r="5" spans="1:31" ht="16.5" customHeight="1">
      <c r="A5" s="519" t="s">
        <v>313</v>
      </c>
      <c r="B5" s="519"/>
      <c r="C5" s="519"/>
      <c r="D5" s="519"/>
      <c r="E5" s="519"/>
      <c r="F5" s="519"/>
      <c r="G5" s="519"/>
      <c r="H5" s="519"/>
      <c r="I5" s="519"/>
      <c r="J5" s="519"/>
      <c r="K5" s="519"/>
      <c r="L5" s="519"/>
      <c r="M5" s="519"/>
      <c r="N5" s="519"/>
      <c r="O5" s="519"/>
      <c r="P5" s="519"/>
      <c r="Q5" s="519"/>
      <c r="S5" s="50"/>
      <c r="T5" s="50"/>
      <c r="U5" s="50"/>
      <c r="V5" s="50"/>
      <c r="W5" s="50"/>
      <c r="X5" s="50"/>
      <c r="Y5" s="50"/>
      <c r="Z5" s="50"/>
      <c r="AA5" s="50"/>
      <c r="AB5" s="50"/>
      <c r="AC5" s="50"/>
      <c r="AD5" s="50"/>
      <c r="AE5" s="50"/>
    </row>
    <row r="6" spans="1:31" ht="15" customHeight="1" thickBot="1">
      <c r="A6" s="519" t="s">
        <v>312</v>
      </c>
      <c r="B6" s="519"/>
      <c r="C6" s="519"/>
      <c r="D6" s="519"/>
      <c r="E6" s="519"/>
      <c r="F6" s="519"/>
      <c r="G6" s="519"/>
      <c r="H6" s="519"/>
      <c r="I6" s="519"/>
      <c r="J6" s="519"/>
      <c r="K6" s="519"/>
      <c r="L6" s="519"/>
      <c r="M6" s="519"/>
      <c r="N6" s="519"/>
      <c r="O6" s="519"/>
      <c r="P6" s="519"/>
      <c r="Q6" s="519"/>
    </row>
    <row r="7" spans="1:31" ht="10.9" customHeight="1">
      <c r="A7" s="51"/>
      <c r="B7" s="52"/>
      <c r="C7" s="52"/>
      <c r="D7" s="53"/>
      <c r="E7" s="54" t="s">
        <v>37</v>
      </c>
      <c r="F7" s="456" t="s">
        <v>0</v>
      </c>
      <c r="G7" s="457" t="s">
        <v>1</v>
      </c>
      <c r="H7" s="457" t="s">
        <v>2</v>
      </c>
      <c r="I7" s="458" t="s">
        <v>3</v>
      </c>
      <c r="J7" s="458" t="s">
        <v>4</v>
      </c>
      <c r="K7" s="458" t="s">
        <v>38</v>
      </c>
      <c r="L7" s="459" t="s">
        <v>301</v>
      </c>
      <c r="M7" s="55"/>
      <c r="N7" s="54"/>
      <c r="O7" s="54"/>
      <c r="P7" s="520" t="s">
        <v>43</v>
      </c>
      <c r="Q7" s="45"/>
    </row>
    <row r="8" spans="1:31" ht="10.9" customHeight="1">
      <c r="A8" s="56"/>
      <c r="B8" s="57"/>
      <c r="C8" s="57"/>
      <c r="D8" s="46"/>
      <c r="E8" s="58" t="s">
        <v>47</v>
      </c>
      <c r="F8" s="455" t="s">
        <v>62</v>
      </c>
      <c r="G8" s="59" t="s">
        <v>39</v>
      </c>
      <c r="H8" s="59" t="s">
        <v>9</v>
      </c>
      <c r="I8" s="58" t="s">
        <v>39</v>
      </c>
      <c r="J8" s="58" t="s">
        <v>40</v>
      </c>
      <c r="K8" s="58" t="s">
        <v>6</v>
      </c>
      <c r="L8" s="61" t="s">
        <v>7</v>
      </c>
      <c r="M8" s="61" t="s">
        <v>41</v>
      </c>
      <c r="N8" s="58" t="s">
        <v>42</v>
      </c>
      <c r="O8" s="58" t="s">
        <v>42</v>
      </c>
      <c r="P8" s="521"/>
      <c r="Q8" s="45"/>
    </row>
    <row r="9" spans="1:31" ht="10.9" customHeight="1">
      <c r="A9" s="56"/>
      <c r="B9" s="57"/>
      <c r="C9" s="57"/>
      <c r="D9" s="46"/>
      <c r="E9" s="58" t="s">
        <v>64</v>
      </c>
      <c r="F9" s="60" t="s">
        <v>63</v>
      </c>
      <c r="G9" s="59" t="s">
        <v>8</v>
      </c>
      <c r="H9" s="59" t="s">
        <v>10</v>
      </c>
      <c r="I9" s="58" t="s">
        <v>44</v>
      </c>
      <c r="J9" s="58" t="s">
        <v>9</v>
      </c>
      <c r="K9" s="58" t="s">
        <v>9</v>
      </c>
      <c r="L9" s="61" t="s">
        <v>9</v>
      </c>
      <c r="M9" s="61" t="s">
        <v>45</v>
      </c>
      <c r="N9" s="58" t="s">
        <v>62</v>
      </c>
      <c r="O9" s="58" t="s">
        <v>84</v>
      </c>
      <c r="P9" s="521"/>
      <c r="Q9" s="45"/>
    </row>
    <row r="10" spans="1:31" ht="10.9" customHeight="1">
      <c r="A10" s="56"/>
      <c r="B10" s="57"/>
      <c r="C10" s="57"/>
      <c r="D10" s="46"/>
      <c r="E10" s="58" t="s">
        <v>12</v>
      </c>
      <c r="F10" s="60" t="s">
        <v>10</v>
      </c>
      <c r="G10" s="59" t="s">
        <v>10</v>
      </c>
      <c r="H10" s="59" t="s">
        <v>47</v>
      </c>
      <c r="I10" s="58" t="s">
        <v>11</v>
      </c>
      <c r="J10" s="58" t="s">
        <v>11</v>
      </c>
      <c r="K10" s="58" t="s">
        <v>11</v>
      </c>
      <c r="L10" s="61" t="s">
        <v>11</v>
      </c>
      <c r="M10" s="61" t="s">
        <v>11</v>
      </c>
      <c r="N10" s="58" t="s">
        <v>63</v>
      </c>
      <c r="O10" s="58" t="s">
        <v>11</v>
      </c>
      <c r="P10" s="521"/>
      <c r="Q10" s="45"/>
    </row>
    <row r="11" spans="1:31" ht="10.9" customHeight="1">
      <c r="A11" s="62"/>
      <c r="B11" s="46"/>
      <c r="C11" s="46"/>
      <c r="D11" s="46"/>
      <c r="E11" s="58" t="s">
        <v>46</v>
      </c>
      <c r="F11" s="60" t="s">
        <v>12</v>
      </c>
      <c r="G11" s="59" t="s">
        <v>47</v>
      </c>
      <c r="H11" s="59" t="s">
        <v>11</v>
      </c>
      <c r="I11" s="226"/>
      <c r="J11" s="63"/>
      <c r="K11" s="63"/>
      <c r="L11" s="64"/>
      <c r="M11" s="65"/>
      <c r="N11" s="58" t="s">
        <v>11</v>
      </c>
      <c r="O11" s="58"/>
      <c r="P11" s="521"/>
      <c r="Q11" s="45"/>
    </row>
    <row r="12" spans="1:31" ht="10.9" customHeight="1" thickBot="1">
      <c r="A12" s="66" t="s">
        <v>13</v>
      </c>
      <c r="B12" s="67"/>
      <c r="C12" s="67"/>
      <c r="D12" s="67"/>
      <c r="E12" s="68" t="s">
        <v>48</v>
      </c>
      <c r="F12" s="70"/>
      <c r="G12" s="69" t="s">
        <v>11</v>
      </c>
      <c r="H12" s="461" t="s">
        <v>302</v>
      </c>
      <c r="I12" s="68"/>
      <c r="J12" s="460" t="s">
        <v>305</v>
      </c>
      <c r="K12" s="460" t="s">
        <v>303</v>
      </c>
      <c r="L12" s="462" t="s">
        <v>304</v>
      </c>
      <c r="M12" s="71"/>
      <c r="N12" s="68"/>
      <c r="O12" s="68"/>
      <c r="P12" s="522"/>
      <c r="Q12" s="45"/>
    </row>
    <row r="13" spans="1:31" ht="15" customHeight="1">
      <c r="A13" s="72" t="s">
        <v>14</v>
      </c>
      <c r="B13" s="73" t="s">
        <v>15</v>
      </c>
      <c r="C13" s="74"/>
      <c r="D13" s="74"/>
      <c r="E13" s="75" t="s">
        <v>129</v>
      </c>
      <c r="F13" s="76"/>
      <c r="G13" s="77"/>
      <c r="H13" s="78">
        <f>E13*$G13</f>
        <v>0</v>
      </c>
      <c r="I13" s="79">
        <v>55</v>
      </c>
      <c r="J13" s="80"/>
      <c r="K13" s="80"/>
      <c r="L13" s="81"/>
      <c r="M13" s="82">
        <f>J13*33+K13*49+L13*15</f>
        <v>0</v>
      </c>
      <c r="N13" s="83"/>
      <c r="O13" s="84"/>
      <c r="P13" s="85"/>
      <c r="Q13" s="45"/>
    </row>
    <row r="14" spans="1:31" ht="15" customHeight="1">
      <c r="A14" s="88" t="s">
        <v>17</v>
      </c>
      <c r="B14" s="30" t="s">
        <v>49</v>
      </c>
      <c r="C14" s="95"/>
      <c r="D14" s="95"/>
      <c r="E14" s="183" t="s">
        <v>129</v>
      </c>
      <c r="F14" s="184"/>
      <c r="G14" s="89"/>
      <c r="H14" s="91">
        <f>E14*$G14</f>
        <v>0</v>
      </c>
      <c r="I14" s="185"/>
      <c r="J14" s="186"/>
      <c r="K14" s="186"/>
      <c r="L14" s="187">
        <f t="shared" ref="L14:L18" si="0">J14*0.1</f>
        <v>0</v>
      </c>
      <c r="M14" s="90">
        <f>J14*33+K14*49+L14*15</f>
        <v>0</v>
      </c>
      <c r="N14" s="91"/>
      <c r="O14" s="92"/>
      <c r="P14" s="93" t="s">
        <v>23</v>
      </c>
      <c r="Q14" s="45"/>
    </row>
    <row r="15" spans="1:31" ht="15" customHeight="1">
      <c r="A15" s="219" t="s">
        <v>20</v>
      </c>
      <c r="B15" s="172" t="s">
        <v>50</v>
      </c>
      <c r="C15" s="168"/>
      <c r="D15" s="168"/>
      <c r="E15" s="190"/>
      <c r="F15" s="190"/>
      <c r="G15" s="180"/>
      <c r="H15" s="191">
        <f>E15*$G15</f>
        <v>0</v>
      </c>
      <c r="I15" s="192"/>
      <c r="J15" s="191">
        <f t="shared" ref="J15:J18" si="1">H15*I15</f>
        <v>0</v>
      </c>
      <c r="K15" s="191">
        <f t="shared" ref="K15:K18" si="2">J15*0.05</f>
        <v>0</v>
      </c>
      <c r="L15" s="191">
        <f t="shared" si="0"/>
        <v>0</v>
      </c>
      <c r="M15" s="191">
        <f>J15*33+K15*49+L15*15</f>
        <v>0</v>
      </c>
      <c r="N15" s="191" t="s">
        <v>23</v>
      </c>
      <c r="O15" s="193"/>
      <c r="P15" s="220"/>
      <c r="Q15" s="45"/>
    </row>
    <row r="16" spans="1:31" ht="15" customHeight="1">
      <c r="A16" s="219"/>
      <c r="B16" s="173" t="s">
        <v>22</v>
      </c>
      <c r="C16" s="172" t="s">
        <v>18</v>
      </c>
      <c r="D16" s="168"/>
      <c r="E16" s="190">
        <v>25</v>
      </c>
      <c r="F16" s="201">
        <v>100</v>
      </c>
      <c r="G16" s="189">
        <v>1</v>
      </c>
      <c r="H16" s="189">
        <f>E16*$G16</f>
        <v>25</v>
      </c>
      <c r="I16" s="194">
        <v>0</v>
      </c>
      <c r="J16" s="195">
        <f t="shared" si="1"/>
        <v>0</v>
      </c>
      <c r="K16" s="195">
        <f t="shared" si="2"/>
        <v>0</v>
      </c>
      <c r="L16" s="195">
        <f t="shared" si="0"/>
        <v>0</v>
      </c>
      <c r="M16" s="110">
        <f>J16*'Hourly Rates'!$E$24+K16*'Hourly Rates'!$E$23+L16*'Hourly Rates'!$E$25</f>
        <v>0</v>
      </c>
      <c r="N16" s="110">
        <f>F16*G16*I16</f>
        <v>0</v>
      </c>
      <c r="O16" s="193">
        <v>0</v>
      </c>
      <c r="P16" s="258" t="s">
        <v>298</v>
      </c>
      <c r="Q16" s="45"/>
    </row>
    <row r="17" spans="1:20" ht="15" customHeight="1">
      <c r="A17" s="222"/>
      <c r="B17" s="173" t="s">
        <v>24</v>
      </c>
      <c r="C17" s="172" t="s">
        <v>21</v>
      </c>
      <c r="D17" s="168"/>
      <c r="E17" s="190"/>
      <c r="F17" s="199"/>
      <c r="G17" s="180"/>
      <c r="H17" s="180"/>
      <c r="I17" s="194"/>
      <c r="J17" s="191">
        <f t="shared" si="1"/>
        <v>0</v>
      </c>
      <c r="K17" s="191">
        <f t="shared" si="2"/>
        <v>0</v>
      </c>
      <c r="L17" s="191">
        <f t="shared" si="0"/>
        <v>0</v>
      </c>
      <c r="M17" s="110"/>
      <c r="N17" s="191"/>
      <c r="O17" s="193"/>
      <c r="P17" s="220"/>
      <c r="Q17" s="45"/>
      <c r="T17" s="96"/>
    </row>
    <row r="18" spans="1:20" ht="15" customHeight="1">
      <c r="A18" s="222"/>
      <c r="B18" s="176"/>
      <c r="C18" s="175" t="s">
        <v>174</v>
      </c>
      <c r="D18" s="170"/>
      <c r="E18" s="190"/>
      <c r="F18" s="199"/>
      <c r="G18" s="180"/>
      <c r="H18" s="180"/>
      <c r="I18" s="194"/>
      <c r="J18" s="191">
        <f t="shared" si="1"/>
        <v>0</v>
      </c>
      <c r="K18" s="191">
        <f t="shared" si="2"/>
        <v>0</v>
      </c>
      <c r="L18" s="191">
        <f t="shared" si="0"/>
        <v>0</v>
      </c>
      <c r="M18" s="110"/>
      <c r="N18" s="191"/>
      <c r="O18" s="193"/>
      <c r="P18" s="220"/>
      <c r="Q18" s="45"/>
      <c r="T18" s="98"/>
    </row>
    <row r="19" spans="1:20" ht="15" customHeight="1">
      <c r="A19" s="222"/>
      <c r="B19" s="176"/>
      <c r="C19" s="175"/>
      <c r="D19" s="262" t="s">
        <v>249</v>
      </c>
      <c r="E19" s="181">
        <v>32</v>
      </c>
      <c r="F19" s="466">
        <f>'Process Vent - T&amp;M Costs'!D23</f>
        <v>51197.739030465607</v>
      </c>
      <c r="G19" s="189">
        <v>1</v>
      </c>
      <c r="H19" s="189">
        <f>E19*$G19</f>
        <v>32</v>
      </c>
      <c r="I19" s="197">
        <v>0</v>
      </c>
      <c r="J19" s="195">
        <f>H19*I19</f>
        <v>0</v>
      </c>
      <c r="K19" s="195">
        <f>J19*0.05</f>
        <v>0</v>
      </c>
      <c r="L19" s="195">
        <f>J19*0.1</f>
        <v>0</v>
      </c>
      <c r="M19" s="110">
        <f>J19*'Hourly Rates'!$E$24+K19*'Hourly Rates'!$E$23+L19*'Hourly Rates'!$E$25</f>
        <v>0</v>
      </c>
      <c r="N19" s="110">
        <f>F19*G19*I19</f>
        <v>0</v>
      </c>
      <c r="O19" s="193">
        <v>0</v>
      </c>
      <c r="P19" s="258" t="s">
        <v>107</v>
      </c>
      <c r="Q19" s="45"/>
      <c r="T19" s="98"/>
    </row>
    <row r="20" spans="1:20" ht="15" customHeight="1">
      <c r="A20" s="222"/>
      <c r="B20" s="176"/>
      <c r="C20" s="175"/>
      <c r="D20" s="403" t="s">
        <v>250</v>
      </c>
      <c r="E20" s="181">
        <v>2</v>
      </c>
      <c r="F20" s="466">
        <f>'Resin T&amp;M Costs'!E10</f>
        <v>1803</v>
      </c>
      <c r="G20" s="189">
        <v>1</v>
      </c>
      <c r="H20" s="189">
        <f>E20*$G20</f>
        <v>2</v>
      </c>
      <c r="I20" s="194">
        <v>0</v>
      </c>
      <c r="J20" s="195">
        <f t="shared" ref="J20:J30" si="3">H20*I20</f>
        <v>0</v>
      </c>
      <c r="K20" s="195">
        <f t="shared" ref="K20:K30" si="4">J20*0.05</f>
        <v>0</v>
      </c>
      <c r="L20" s="195">
        <f t="shared" ref="L20:L23" si="5">J20*0.1</f>
        <v>0</v>
      </c>
      <c r="M20" s="110">
        <f>J20*'Hourly Rates'!$E$24+K20*'Hourly Rates'!$E$23+L20*'Hourly Rates'!$E$25</f>
        <v>0</v>
      </c>
      <c r="N20" s="110">
        <f t="shared" ref="N20:N23" si="6">F20*G20*I20</f>
        <v>0</v>
      </c>
      <c r="O20" s="193">
        <v>0</v>
      </c>
      <c r="P20" s="258" t="s">
        <v>299</v>
      </c>
      <c r="Q20" s="45"/>
      <c r="T20" s="98"/>
    </row>
    <row r="21" spans="1:20" ht="15" customHeight="1">
      <c r="A21" s="222"/>
      <c r="B21" s="176"/>
      <c r="C21" s="175"/>
      <c r="D21" s="403" t="s">
        <v>263</v>
      </c>
      <c r="E21" s="181">
        <v>2</v>
      </c>
      <c r="F21" s="466">
        <v>491</v>
      </c>
      <c r="G21" s="189">
        <v>1</v>
      </c>
      <c r="H21" s="189">
        <f>E21*$G21</f>
        <v>2</v>
      </c>
      <c r="I21" s="194">
        <v>0</v>
      </c>
      <c r="J21" s="195">
        <f t="shared" si="3"/>
        <v>0</v>
      </c>
      <c r="K21" s="195">
        <f t="shared" si="4"/>
        <v>0</v>
      </c>
      <c r="L21" s="195">
        <f t="shared" si="5"/>
        <v>0</v>
      </c>
      <c r="M21" s="110">
        <f>J21*'Hourly Rates'!$E$24+K21*'Hourly Rates'!$E$23+L21*'Hourly Rates'!$E$25</f>
        <v>0</v>
      </c>
      <c r="N21" s="110">
        <f t="shared" si="6"/>
        <v>0</v>
      </c>
      <c r="O21" s="193">
        <v>0</v>
      </c>
      <c r="P21" s="258" t="s">
        <v>306</v>
      </c>
      <c r="Q21" s="45"/>
      <c r="T21" s="98"/>
    </row>
    <row r="22" spans="1:20" ht="15" customHeight="1">
      <c r="A22" s="222"/>
      <c r="B22" s="176"/>
      <c r="C22" s="175"/>
      <c r="D22" s="403" t="s">
        <v>287</v>
      </c>
      <c r="E22" s="438">
        <v>0</v>
      </c>
      <c r="F22" s="466">
        <v>0</v>
      </c>
      <c r="G22" s="189">
        <v>0</v>
      </c>
      <c r="H22" s="189">
        <f>E22*$G22</f>
        <v>0</v>
      </c>
      <c r="I22" s="194">
        <v>0</v>
      </c>
      <c r="J22" s="195">
        <f t="shared" si="3"/>
        <v>0</v>
      </c>
      <c r="K22" s="195">
        <f t="shared" si="4"/>
        <v>0</v>
      </c>
      <c r="L22" s="195">
        <f t="shared" si="5"/>
        <v>0</v>
      </c>
      <c r="M22" s="110">
        <f>J22*'Hourly Rates'!$E$24+K22*'Hourly Rates'!$E$23+L22*'Hourly Rates'!$E$25</f>
        <v>0</v>
      </c>
      <c r="N22" s="110">
        <f t="shared" si="6"/>
        <v>0</v>
      </c>
      <c r="O22" s="193">
        <v>0</v>
      </c>
      <c r="P22" s="258" t="s">
        <v>228</v>
      </c>
      <c r="Q22" s="45"/>
      <c r="T22" s="98"/>
    </row>
    <row r="23" spans="1:20" ht="15" customHeight="1">
      <c r="A23" s="222"/>
      <c r="B23" s="176"/>
      <c r="C23" s="175"/>
      <c r="D23" s="403" t="s">
        <v>288</v>
      </c>
      <c r="E23" s="454">
        <v>2</v>
      </c>
      <c r="F23" s="466">
        <f>'EquipmentLeaks - T&amp;M Costs'!D3</f>
        <v>77797.502752356988</v>
      </c>
      <c r="G23" s="189">
        <v>1</v>
      </c>
      <c r="H23" s="189">
        <f>E23*$G23</f>
        <v>2</v>
      </c>
      <c r="I23" s="194">
        <v>0</v>
      </c>
      <c r="J23" s="195">
        <f t="shared" si="3"/>
        <v>0</v>
      </c>
      <c r="K23" s="195">
        <f t="shared" si="4"/>
        <v>0</v>
      </c>
      <c r="L23" s="195">
        <f t="shared" si="5"/>
        <v>0</v>
      </c>
      <c r="M23" s="110">
        <f>J23*'Hourly Rates'!$E$24+K23*'Hourly Rates'!$E$23+L23*'Hourly Rates'!$E$25</f>
        <v>0</v>
      </c>
      <c r="N23" s="110">
        <f t="shared" si="6"/>
        <v>0</v>
      </c>
      <c r="O23" s="193">
        <v>0</v>
      </c>
      <c r="P23" s="258" t="s">
        <v>300</v>
      </c>
      <c r="Q23" s="45"/>
      <c r="T23" s="98"/>
    </row>
    <row r="24" spans="1:20" ht="15" customHeight="1">
      <c r="A24" s="222"/>
      <c r="B24" s="176"/>
      <c r="C24" s="175" t="s">
        <v>175</v>
      </c>
      <c r="D24" s="170"/>
      <c r="E24" s="190"/>
      <c r="F24" s="201"/>
      <c r="G24" s="189"/>
      <c r="H24" s="189"/>
      <c r="I24" s="197"/>
      <c r="J24" s="195"/>
      <c r="K24" s="195"/>
      <c r="L24" s="195"/>
      <c r="M24" s="110"/>
      <c r="N24" s="110"/>
      <c r="O24" s="193"/>
      <c r="P24" s="258"/>
      <c r="Q24" s="45"/>
      <c r="T24" s="98"/>
    </row>
    <row r="25" spans="1:20" ht="15" customHeight="1">
      <c r="A25" s="222"/>
      <c r="B25" s="176"/>
      <c r="C25" s="175"/>
      <c r="D25" s="262" t="s">
        <v>249</v>
      </c>
      <c r="E25" s="190">
        <v>32</v>
      </c>
      <c r="F25" s="466">
        <f>'Process Vent - T&amp;M Costs'!H23</f>
        <v>48030</v>
      </c>
      <c r="G25" s="189">
        <v>1</v>
      </c>
      <c r="H25" s="189">
        <f>E25*$G25</f>
        <v>32</v>
      </c>
      <c r="I25" s="197">
        <f>14/5</f>
        <v>2.8</v>
      </c>
      <c r="J25" s="195">
        <f t="shared" si="3"/>
        <v>89.6</v>
      </c>
      <c r="K25" s="195">
        <f t="shared" si="4"/>
        <v>4.4799999999999995</v>
      </c>
      <c r="L25" s="195">
        <f t="shared" ref="L25:L30" si="7">J25*0.1</f>
        <v>8.9599999999999991</v>
      </c>
      <c r="M25" s="110">
        <f>J25*'Hourly Rates'!$E$24+K25*'Hourly Rates'!$E$23+L25*'Hourly Rates'!$E$25</f>
        <v>9746.1235199999992</v>
      </c>
      <c r="N25" s="110">
        <f t="shared" ref="N25:N30" si="8">F25*G25*I25</f>
        <v>134484</v>
      </c>
      <c r="O25" s="193">
        <v>0</v>
      </c>
      <c r="P25" s="258" t="s">
        <v>91</v>
      </c>
      <c r="Q25" s="45"/>
      <c r="T25" s="98"/>
    </row>
    <row r="26" spans="1:20" ht="15" customHeight="1">
      <c r="A26" s="222"/>
      <c r="B26" s="176"/>
      <c r="C26" s="175"/>
      <c r="D26" s="403" t="s">
        <v>250</v>
      </c>
      <c r="E26" s="190">
        <v>1</v>
      </c>
      <c r="F26" s="466">
        <f>'Resin T&amp;M Costs'!E19</f>
        <v>601</v>
      </c>
      <c r="G26" s="189">
        <v>12</v>
      </c>
      <c r="H26" s="189">
        <f t="shared" ref="H26:H30" si="9">E26*$G26</f>
        <v>12</v>
      </c>
      <c r="I26" s="197">
        <v>18</v>
      </c>
      <c r="J26" s="195">
        <f t="shared" si="3"/>
        <v>216</v>
      </c>
      <c r="K26" s="195">
        <f t="shared" si="4"/>
        <v>10.8</v>
      </c>
      <c r="L26" s="195">
        <f t="shared" si="7"/>
        <v>21.6</v>
      </c>
      <c r="M26" s="110">
        <f>J26*'Hourly Rates'!$E$24+K26*'Hourly Rates'!$E$23+L26*'Hourly Rates'!$E$25</f>
        <v>23495.119200000001</v>
      </c>
      <c r="N26" s="110">
        <f t="shared" si="8"/>
        <v>129816</v>
      </c>
      <c r="O26" s="193">
        <v>0</v>
      </c>
      <c r="P26" s="258" t="s">
        <v>51</v>
      </c>
      <c r="Q26" s="45"/>
      <c r="T26" s="98"/>
    </row>
    <row r="27" spans="1:20" ht="15" customHeight="1">
      <c r="A27" s="222"/>
      <c r="B27" s="176"/>
      <c r="C27" s="175"/>
      <c r="D27" s="403" t="s">
        <v>263</v>
      </c>
      <c r="E27" s="190">
        <v>1</v>
      </c>
      <c r="F27" s="466">
        <f>SUM('Wastewater T&amp;M Costs'!D4:D5)</f>
        <v>490.5</v>
      </c>
      <c r="G27" s="189">
        <v>12</v>
      </c>
      <c r="H27" s="189">
        <f t="shared" si="9"/>
        <v>12</v>
      </c>
      <c r="I27" s="197">
        <v>15</v>
      </c>
      <c r="J27" s="195">
        <f t="shared" si="3"/>
        <v>180</v>
      </c>
      <c r="K27" s="195">
        <f t="shared" si="4"/>
        <v>9</v>
      </c>
      <c r="L27" s="195">
        <f t="shared" si="7"/>
        <v>18</v>
      </c>
      <c r="M27" s="110">
        <f>J27*'Hourly Rates'!$E$24+K27*'Hourly Rates'!$E$23+L27*'Hourly Rates'!$E$25</f>
        <v>19579.266</v>
      </c>
      <c r="N27" s="110">
        <f t="shared" si="8"/>
        <v>88290</v>
      </c>
      <c r="O27" s="193">
        <v>0</v>
      </c>
      <c r="P27" s="258" t="s">
        <v>32</v>
      </c>
      <c r="Q27" s="45"/>
      <c r="T27" s="98"/>
    </row>
    <row r="28" spans="1:20" ht="15" customHeight="1">
      <c r="A28" s="222"/>
      <c r="B28" s="176"/>
      <c r="C28" s="175"/>
      <c r="D28" s="403" t="s">
        <v>350</v>
      </c>
      <c r="E28" s="190">
        <v>1</v>
      </c>
      <c r="F28" s="466">
        <f>SUM('Wastewater T&amp;M Costs'!D4:D5)</f>
        <v>490.5</v>
      </c>
      <c r="G28" s="189">
        <v>1</v>
      </c>
      <c r="H28" s="189">
        <f t="shared" si="9"/>
        <v>1</v>
      </c>
      <c r="I28" s="197">
        <v>42</v>
      </c>
      <c r="J28" s="195">
        <f t="shared" si="3"/>
        <v>42</v>
      </c>
      <c r="K28" s="195">
        <f t="shared" si="4"/>
        <v>2.1</v>
      </c>
      <c r="L28" s="195">
        <f t="shared" si="7"/>
        <v>4.2</v>
      </c>
      <c r="M28" s="110">
        <f>J28*'Hourly Rates'!$E$24+K28*'Hourly Rates'!$E$23+L28*'Hourly Rates'!$E$25</f>
        <v>4568.4954000000007</v>
      </c>
      <c r="N28" s="110">
        <f t="shared" si="8"/>
        <v>20601</v>
      </c>
      <c r="O28" s="193">
        <v>0</v>
      </c>
      <c r="P28" s="258" t="s">
        <v>32</v>
      </c>
      <c r="Q28" s="45"/>
      <c r="T28" s="98"/>
    </row>
    <row r="29" spans="1:20" ht="15" customHeight="1">
      <c r="A29" s="222"/>
      <c r="B29" s="176"/>
      <c r="C29" s="175"/>
      <c r="D29" s="403" t="s">
        <v>351</v>
      </c>
      <c r="E29" s="190">
        <v>1</v>
      </c>
      <c r="F29" s="466">
        <v>0</v>
      </c>
      <c r="G29" s="189">
        <v>12</v>
      </c>
      <c r="H29" s="189">
        <f t="shared" si="9"/>
        <v>12</v>
      </c>
      <c r="I29" s="197">
        <v>23</v>
      </c>
      <c r="J29" s="195">
        <f t="shared" si="3"/>
        <v>276</v>
      </c>
      <c r="K29" s="195">
        <f t="shared" si="4"/>
        <v>13.8</v>
      </c>
      <c r="L29" s="195">
        <f t="shared" si="7"/>
        <v>27.6</v>
      </c>
      <c r="M29" s="110">
        <f>J29*'Hourly Rates'!$E$24+K29*'Hourly Rates'!$E$23+L29*'Hourly Rates'!$E$25</f>
        <v>30021.5412</v>
      </c>
      <c r="N29" s="110">
        <f>F29*G29*I29</f>
        <v>0</v>
      </c>
      <c r="O29" s="193">
        <v>0</v>
      </c>
      <c r="P29" s="258" t="s">
        <v>228</v>
      </c>
      <c r="Q29" s="45"/>
      <c r="T29" s="98"/>
    </row>
    <row r="30" spans="1:20" ht="15" customHeight="1">
      <c r="A30" s="222"/>
      <c r="B30" s="176"/>
      <c r="C30" s="175"/>
      <c r="D30" s="403" t="s">
        <v>352</v>
      </c>
      <c r="E30" s="440">
        <v>1</v>
      </c>
      <c r="F30" s="466">
        <f>'EquipmentLeaks - T&amp;M Costs'!H3</f>
        <v>18205.054371160684</v>
      </c>
      <c r="G30" s="189">
        <v>1</v>
      </c>
      <c r="H30" s="189">
        <f t="shared" si="9"/>
        <v>1</v>
      </c>
      <c r="I30" s="197">
        <v>13</v>
      </c>
      <c r="J30" s="195">
        <f t="shared" si="3"/>
        <v>13</v>
      </c>
      <c r="K30" s="195">
        <f t="shared" si="4"/>
        <v>0.65</v>
      </c>
      <c r="L30" s="195">
        <f t="shared" si="7"/>
        <v>1.3</v>
      </c>
      <c r="M30" s="110">
        <f>J30*'Hourly Rates'!$E$24+K30*'Hourly Rates'!$E$23+L30*'Hourly Rates'!$E$25</f>
        <v>1414.0581</v>
      </c>
      <c r="N30" s="110">
        <f t="shared" si="8"/>
        <v>236665.70682508888</v>
      </c>
      <c r="O30" s="193">
        <v>0</v>
      </c>
      <c r="P30" s="258" t="s">
        <v>300</v>
      </c>
      <c r="Q30" s="45"/>
      <c r="T30" s="98"/>
    </row>
    <row r="31" spans="1:20" ht="15" customHeight="1">
      <c r="A31" s="222"/>
      <c r="B31" s="178"/>
      <c r="C31" s="175" t="s">
        <v>171</v>
      </c>
      <c r="D31" s="168"/>
      <c r="E31" s="190"/>
      <c r="F31" s="201"/>
      <c r="G31" s="180"/>
      <c r="H31" s="180"/>
      <c r="I31" s="197"/>
      <c r="J31" s="195"/>
      <c r="K31" s="195"/>
      <c r="L31" s="195"/>
      <c r="M31" s="110"/>
      <c r="N31" s="110"/>
      <c r="O31" s="193"/>
      <c r="P31" s="258"/>
      <c r="Q31" s="45"/>
    </row>
    <row r="32" spans="1:20" ht="15" customHeight="1">
      <c r="A32" s="222"/>
      <c r="B32" s="178"/>
      <c r="C32" s="175"/>
      <c r="D32" s="262" t="s">
        <v>249</v>
      </c>
      <c r="E32" s="190">
        <v>3.5</v>
      </c>
      <c r="F32" s="201">
        <v>0</v>
      </c>
      <c r="G32" s="180">
        <v>1</v>
      </c>
      <c r="H32" s="180">
        <f>E32*$G32</f>
        <v>3.5</v>
      </c>
      <c r="I32" s="197">
        <v>0</v>
      </c>
      <c r="J32" s="195">
        <f t="shared" ref="J32" si="10">H32*I32</f>
        <v>0</v>
      </c>
      <c r="K32" s="195">
        <f t="shared" ref="K32" si="11">J32*0.05</f>
        <v>0</v>
      </c>
      <c r="L32" s="195">
        <f t="shared" ref="L32" si="12">J32*0.1</f>
        <v>0</v>
      </c>
      <c r="M32" s="110">
        <f>J32*'Hourly Rates'!$E$24+K32*'Hourly Rates'!$E$23+L32*'Hourly Rates'!$E$25</f>
        <v>0</v>
      </c>
      <c r="N32" s="110">
        <f t="shared" ref="N32:N35" si="13">F32*G32*I32</f>
        <v>0</v>
      </c>
      <c r="O32" s="193">
        <v>0</v>
      </c>
      <c r="P32" s="258" t="s">
        <v>298</v>
      </c>
      <c r="Q32" s="45"/>
    </row>
    <row r="33" spans="1:17" ht="15" customHeight="1">
      <c r="A33" s="222"/>
      <c r="B33" s="178"/>
      <c r="C33" s="175" t="s">
        <v>164</v>
      </c>
      <c r="D33" s="168"/>
      <c r="E33" s="190"/>
      <c r="F33" s="201"/>
      <c r="G33" s="180"/>
      <c r="H33" s="180"/>
      <c r="I33" s="197"/>
      <c r="J33" s="195"/>
      <c r="K33" s="195"/>
      <c r="L33" s="195"/>
      <c r="M33" s="110"/>
      <c r="N33" s="110"/>
      <c r="O33" s="193"/>
      <c r="P33" s="221"/>
      <c r="Q33" s="45"/>
    </row>
    <row r="34" spans="1:17" ht="15" customHeight="1">
      <c r="A34" s="222"/>
      <c r="B34" s="178"/>
      <c r="C34" s="179"/>
      <c r="D34" s="262" t="s">
        <v>289</v>
      </c>
      <c r="E34" s="190">
        <v>0</v>
      </c>
      <c r="F34" s="201">
        <f>'EquipmentLeaks - T&amp;M Costs'!C3</f>
        <v>188913</v>
      </c>
      <c r="G34" s="180">
        <v>1</v>
      </c>
      <c r="H34" s="180">
        <f t="shared" ref="H34:H35" si="14">E34*$G34</f>
        <v>0</v>
      </c>
      <c r="I34" s="197">
        <v>0</v>
      </c>
      <c r="J34" s="195">
        <f t="shared" ref="J34:J35" si="15">H34*I34</f>
        <v>0</v>
      </c>
      <c r="K34" s="195">
        <f t="shared" ref="K34:K35" si="16">J34*0.05</f>
        <v>0</v>
      </c>
      <c r="L34" s="195">
        <f t="shared" ref="L34:L35" si="17">J34*0.1</f>
        <v>0</v>
      </c>
      <c r="M34" s="110">
        <f>J34*'Hourly Rates'!$E$24+K34*'Hourly Rates'!$E$23+L34*'Hourly Rates'!$E$25</f>
        <v>0</v>
      </c>
      <c r="N34" s="110">
        <f t="shared" si="13"/>
        <v>0</v>
      </c>
      <c r="O34" s="193">
        <v>0</v>
      </c>
      <c r="P34" s="258" t="s">
        <v>210</v>
      </c>
      <c r="Q34" s="45"/>
    </row>
    <row r="35" spans="1:17" ht="15" customHeight="1">
      <c r="A35" s="222"/>
      <c r="B35" s="178"/>
      <c r="C35" s="179"/>
      <c r="D35" s="262" t="s">
        <v>290</v>
      </c>
      <c r="E35" s="190">
        <f>'Hourly Rates'!C8</f>
        <v>11</v>
      </c>
      <c r="F35" s="201">
        <f>'EquipmentLeaks - T&amp;M Costs'!I3</f>
        <v>26897</v>
      </c>
      <c r="G35" s="180">
        <v>1</v>
      </c>
      <c r="H35" s="180">
        <f t="shared" si="14"/>
        <v>11</v>
      </c>
      <c r="I35" s="197">
        <v>15</v>
      </c>
      <c r="J35" s="195">
        <f t="shared" si="15"/>
        <v>165</v>
      </c>
      <c r="K35" s="195">
        <f t="shared" si="16"/>
        <v>8.25</v>
      </c>
      <c r="L35" s="195">
        <f t="shared" si="17"/>
        <v>16.5</v>
      </c>
      <c r="M35" s="110">
        <f>J35*'Hourly Rates'!$E$24+K35*'Hourly Rates'!$E$23+L35*'Hourly Rates'!$E$25</f>
        <v>17947.660500000002</v>
      </c>
      <c r="N35" s="110">
        <f t="shared" si="13"/>
        <v>403455</v>
      </c>
      <c r="O35" s="193">
        <v>0</v>
      </c>
      <c r="P35" s="258" t="s">
        <v>57</v>
      </c>
      <c r="Q35" s="45"/>
    </row>
    <row r="36" spans="1:17" ht="15" customHeight="1">
      <c r="A36" s="222"/>
      <c r="B36" s="33" t="s">
        <v>26</v>
      </c>
      <c r="C36" s="172" t="s">
        <v>27</v>
      </c>
      <c r="D36" s="168"/>
      <c r="E36" s="190" t="s">
        <v>130</v>
      </c>
      <c r="F36" s="199"/>
      <c r="G36" s="180"/>
      <c r="H36" s="180"/>
      <c r="I36" s="197"/>
      <c r="J36" s="195"/>
      <c r="K36" s="195"/>
      <c r="L36" s="195"/>
      <c r="M36" s="110"/>
      <c r="N36" s="110"/>
      <c r="O36" s="193"/>
      <c r="P36" s="221"/>
      <c r="Q36" s="45"/>
    </row>
    <row r="37" spans="1:17" ht="15" customHeight="1">
      <c r="A37" s="222"/>
      <c r="B37" s="33" t="s">
        <v>28</v>
      </c>
      <c r="C37" s="172" t="s">
        <v>29</v>
      </c>
      <c r="D37" s="168"/>
      <c r="E37" s="181" t="s">
        <v>131</v>
      </c>
      <c r="F37" s="199"/>
      <c r="G37" s="189"/>
      <c r="H37" s="189"/>
      <c r="I37" s="197"/>
      <c r="J37" s="195"/>
      <c r="K37" s="195"/>
      <c r="L37" s="195"/>
      <c r="M37" s="110"/>
      <c r="N37" s="110"/>
      <c r="O37" s="193"/>
      <c r="P37" s="221"/>
      <c r="Q37" s="45"/>
    </row>
    <row r="38" spans="1:17" ht="15" customHeight="1">
      <c r="A38" s="222"/>
      <c r="B38" s="33" t="s">
        <v>30</v>
      </c>
      <c r="C38" s="172" t="s">
        <v>52</v>
      </c>
      <c r="D38" s="168"/>
      <c r="E38" s="190"/>
      <c r="F38" s="199"/>
      <c r="G38" s="180"/>
      <c r="H38" s="191"/>
      <c r="I38" s="198"/>
      <c r="J38" s="191">
        <f t="shared" ref="J38:J44" si="18">H38*I38</f>
        <v>0</v>
      </c>
      <c r="K38" s="191">
        <f t="shared" ref="K38:K44" si="19">J38*0.05</f>
        <v>0</v>
      </c>
      <c r="L38" s="191">
        <f t="shared" ref="L38:L44" si="20">J38*0.1</f>
        <v>0</v>
      </c>
      <c r="M38" s="110"/>
      <c r="N38" s="191"/>
      <c r="O38" s="193"/>
      <c r="P38" s="220"/>
      <c r="Q38" s="45"/>
    </row>
    <row r="39" spans="1:17" ht="15" customHeight="1">
      <c r="A39" s="222"/>
      <c r="B39" s="33"/>
      <c r="C39" s="174" t="s">
        <v>165</v>
      </c>
      <c r="D39" s="168"/>
      <c r="E39" s="190">
        <v>5</v>
      </c>
      <c r="F39" s="199">
        <v>0</v>
      </c>
      <c r="G39" s="180">
        <v>1</v>
      </c>
      <c r="H39" s="180">
        <f t="shared" ref="H39:H45" si="21">E39*$G39</f>
        <v>5</v>
      </c>
      <c r="I39" s="197">
        <f>$I$16</f>
        <v>0</v>
      </c>
      <c r="J39" s="195">
        <f t="shared" si="18"/>
        <v>0</v>
      </c>
      <c r="K39" s="195">
        <f t="shared" si="19"/>
        <v>0</v>
      </c>
      <c r="L39" s="195">
        <f t="shared" si="20"/>
        <v>0</v>
      </c>
      <c r="M39" s="110">
        <f>J39*'Hourly Rates'!$E$24+K39*'Hourly Rates'!$E$23+L39*'Hourly Rates'!$E$25</f>
        <v>0</v>
      </c>
      <c r="N39" s="110">
        <f t="shared" ref="N39:N45" si="22">F39*G39*I39</f>
        <v>0</v>
      </c>
      <c r="O39" s="193">
        <f t="shared" ref="O39:O45" si="23">G39*I39</f>
        <v>0</v>
      </c>
      <c r="P39" s="258" t="s">
        <v>210</v>
      </c>
      <c r="Q39" s="45"/>
    </row>
    <row r="40" spans="1:17" ht="15" customHeight="1">
      <c r="A40" s="222"/>
      <c r="B40" s="33"/>
      <c r="C40" s="262" t="s">
        <v>200</v>
      </c>
      <c r="D40" s="169"/>
      <c r="E40" s="190">
        <v>5</v>
      </c>
      <c r="F40" s="199">
        <v>0</v>
      </c>
      <c r="G40" s="180">
        <v>1</v>
      </c>
      <c r="H40" s="180">
        <f t="shared" si="21"/>
        <v>5</v>
      </c>
      <c r="I40" s="197">
        <f>$I$16</f>
        <v>0</v>
      </c>
      <c r="J40" s="195">
        <f t="shared" si="18"/>
        <v>0</v>
      </c>
      <c r="K40" s="195">
        <f t="shared" si="19"/>
        <v>0</v>
      </c>
      <c r="L40" s="195">
        <f t="shared" si="20"/>
        <v>0</v>
      </c>
      <c r="M40" s="110">
        <f>J40*'Hourly Rates'!$E$24+K40*'Hourly Rates'!$E$23+L40*'Hourly Rates'!$E$25</f>
        <v>0</v>
      </c>
      <c r="N40" s="110">
        <f t="shared" si="22"/>
        <v>0</v>
      </c>
      <c r="O40" s="193">
        <f t="shared" si="23"/>
        <v>0</v>
      </c>
      <c r="P40" s="258" t="s">
        <v>210</v>
      </c>
      <c r="Q40" s="45"/>
    </row>
    <row r="41" spans="1:17" ht="15" customHeight="1">
      <c r="A41" s="222"/>
      <c r="B41" s="33"/>
      <c r="C41" s="262" t="s">
        <v>201</v>
      </c>
      <c r="D41" s="169"/>
      <c r="E41" s="190">
        <v>10</v>
      </c>
      <c r="F41" s="199">
        <v>0</v>
      </c>
      <c r="G41" s="180">
        <v>1</v>
      </c>
      <c r="H41" s="180">
        <f t="shared" si="21"/>
        <v>10</v>
      </c>
      <c r="I41" s="197">
        <f>$I$16</f>
        <v>0</v>
      </c>
      <c r="J41" s="195">
        <f t="shared" si="18"/>
        <v>0</v>
      </c>
      <c r="K41" s="195">
        <f t="shared" si="19"/>
        <v>0</v>
      </c>
      <c r="L41" s="195">
        <f t="shared" si="20"/>
        <v>0</v>
      </c>
      <c r="M41" s="110">
        <f>J41*'Hourly Rates'!$E$24+K41*'Hourly Rates'!$E$23+L41*'Hourly Rates'!$E$25</f>
        <v>0</v>
      </c>
      <c r="N41" s="110">
        <f t="shared" si="22"/>
        <v>0</v>
      </c>
      <c r="O41" s="193">
        <f t="shared" si="23"/>
        <v>0</v>
      </c>
      <c r="P41" s="258" t="s">
        <v>210</v>
      </c>
      <c r="Q41" s="45"/>
    </row>
    <row r="42" spans="1:17" ht="15" customHeight="1">
      <c r="A42" s="222"/>
      <c r="B42" s="33"/>
      <c r="C42" s="262" t="s">
        <v>202</v>
      </c>
      <c r="D42" s="168"/>
      <c r="E42" s="190">
        <v>20</v>
      </c>
      <c r="F42" s="199">
        <v>0</v>
      </c>
      <c r="G42" s="180">
        <v>1</v>
      </c>
      <c r="H42" s="180">
        <f t="shared" si="21"/>
        <v>20</v>
      </c>
      <c r="I42" s="197">
        <f>$I$16</f>
        <v>0</v>
      </c>
      <c r="J42" s="195">
        <f t="shared" si="18"/>
        <v>0</v>
      </c>
      <c r="K42" s="195">
        <f t="shared" si="19"/>
        <v>0</v>
      </c>
      <c r="L42" s="195">
        <f t="shared" si="20"/>
        <v>0</v>
      </c>
      <c r="M42" s="110">
        <f>J42*'Hourly Rates'!$E$24+K42*'Hourly Rates'!$E$23+L42*'Hourly Rates'!$E$25</f>
        <v>0</v>
      </c>
      <c r="N42" s="110">
        <f t="shared" si="22"/>
        <v>0</v>
      </c>
      <c r="O42" s="193">
        <f t="shared" si="23"/>
        <v>0</v>
      </c>
      <c r="P42" s="258" t="s">
        <v>210</v>
      </c>
      <c r="Q42" s="45"/>
    </row>
    <row r="43" spans="1:17" ht="15" customHeight="1">
      <c r="A43" s="222"/>
      <c r="B43" s="33"/>
      <c r="C43" s="262" t="s">
        <v>203</v>
      </c>
      <c r="D43" s="168"/>
      <c r="E43" s="190">
        <v>25</v>
      </c>
      <c r="F43" s="199">
        <v>0</v>
      </c>
      <c r="G43" s="180">
        <v>1</v>
      </c>
      <c r="H43" s="180">
        <f t="shared" si="21"/>
        <v>25</v>
      </c>
      <c r="I43" s="197">
        <v>15</v>
      </c>
      <c r="J43" s="195">
        <f t="shared" si="18"/>
        <v>375</v>
      </c>
      <c r="K43" s="195">
        <f t="shared" si="19"/>
        <v>18.75</v>
      </c>
      <c r="L43" s="195">
        <f t="shared" si="20"/>
        <v>37.5</v>
      </c>
      <c r="M43" s="110">
        <f>J43*'Hourly Rates'!$E$24+K43*'Hourly Rates'!$E$23+L43*'Hourly Rates'!$E$25</f>
        <v>40790.137499999997</v>
      </c>
      <c r="N43" s="110">
        <f t="shared" si="22"/>
        <v>0</v>
      </c>
      <c r="O43" s="193">
        <f t="shared" si="23"/>
        <v>15</v>
      </c>
      <c r="P43" s="463" t="s">
        <v>308</v>
      </c>
      <c r="Q43" s="45"/>
    </row>
    <row r="44" spans="1:17" ht="15" customHeight="1">
      <c r="A44" s="222"/>
      <c r="B44" s="33"/>
      <c r="C44" s="262" t="s">
        <v>204</v>
      </c>
      <c r="D44" s="168"/>
      <c r="E44" s="190">
        <v>5</v>
      </c>
      <c r="F44" s="199">
        <v>0</v>
      </c>
      <c r="G44" s="180">
        <v>1</v>
      </c>
      <c r="H44" s="180">
        <f t="shared" si="21"/>
        <v>5</v>
      </c>
      <c r="I44" s="197">
        <v>15</v>
      </c>
      <c r="J44" s="195">
        <f t="shared" si="18"/>
        <v>75</v>
      </c>
      <c r="K44" s="195">
        <f t="shared" si="19"/>
        <v>3.75</v>
      </c>
      <c r="L44" s="195">
        <f t="shared" si="20"/>
        <v>7.5</v>
      </c>
      <c r="M44" s="110">
        <f>J44*'Hourly Rates'!$E$24+K44*'Hourly Rates'!$E$23+L44*'Hourly Rates'!$E$25</f>
        <v>8158.0275000000001</v>
      </c>
      <c r="N44" s="110">
        <f t="shared" si="22"/>
        <v>0</v>
      </c>
      <c r="O44" s="193">
        <f t="shared" si="23"/>
        <v>15</v>
      </c>
      <c r="P44" s="463" t="s">
        <v>308</v>
      </c>
      <c r="Q44" s="45"/>
    </row>
    <row r="45" spans="1:17" ht="15" customHeight="1">
      <c r="A45" s="222"/>
      <c r="B45" s="33"/>
      <c r="C45" s="262" t="s">
        <v>205</v>
      </c>
      <c r="D45" s="168"/>
      <c r="E45" s="190">
        <v>18</v>
      </c>
      <c r="F45" s="199">
        <v>0</v>
      </c>
      <c r="G45" s="180">
        <v>1</v>
      </c>
      <c r="H45" s="180">
        <f t="shared" si="21"/>
        <v>18</v>
      </c>
      <c r="I45" s="197">
        <v>0</v>
      </c>
      <c r="J45" s="195">
        <v>18</v>
      </c>
      <c r="K45" s="195">
        <v>12</v>
      </c>
      <c r="L45" s="195">
        <v>0</v>
      </c>
      <c r="M45" s="110">
        <v>0</v>
      </c>
      <c r="N45" s="110">
        <f t="shared" si="22"/>
        <v>0</v>
      </c>
      <c r="O45" s="193">
        <f t="shared" si="23"/>
        <v>0</v>
      </c>
      <c r="P45" s="258" t="s">
        <v>128</v>
      </c>
      <c r="Q45" s="45"/>
    </row>
    <row r="46" spans="1:17" s="46" customFormat="1" ht="15" customHeight="1">
      <c r="A46" s="223" t="s">
        <v>83</v>
      </c>
      <c r="B46" s="171"/>
      <c r="C46" s="171"/>
      <c r="D46" s="168"/>
      <c r="E46" s="190"/>
      <c r="F46" s="199"/>
      <c r="G46" s="189"/>
      <c r="H46" s="189"/>
      <c r="I46" s="189"/>
      <c r="J46" s="195">
        <f>SUM(J13:J44)</f>
        <v>1431.6</v>
      </c>
      <c r="K46" s="195">
        <f>SUM(K13:K44)</f>
        <v>71.580000000000013</v>
      </c>
      <c r="L46" s="195">
        <f>SUM(L13:L44)</f>
        <v>143.16000000000003</v>
      </c>
      <c r="M46" s="110">
        <f>J46*'Hourly Rates'!$E$24+K46*'Hourly Rates'!$E$23+L46*'Hourly Rates'!$E$25</f>
        <v>155720.42891999998</v>
      </c>
      <c r="N46" s="201">
        <f>SUM(N13:N45)-N34</f>
        <v>1013311.7068250889</v>
      </c>
      <c r="O46" s="195">
        <f>SUM(O13:O45)</f>
        <v>30</v>
      </c>
      <c r="P46" s="258" t="s">
        <v>134</v>
      </c>
    </row>
    <row r="47" spans="1:17" ht="15" customHeight="1">
      <c r="A47" s="224" t="s">
        <v>66</v>
      </c>
      <c r="B47" s="34"/>
      <c r="C47" s="225"/>
      <c r="D47" s="31"/>
      <c r="E47" s="107" t="s">
        <v>23</v>
      </c>
      <c r="F47" s="467" t="s">
        <v>23</v>
      </c>
      <c r="G47" s="103" t="s">
        <v>23</v>
      </c>
      <c r="H47" s="103" t="s">
        <v>23</v>
      </c>
      <c r="I47" s="104" t="s">
        <v>23</v>
      </c>
      <c r="J47" s="105" t="s">
        <v>23</v>
      </c>
      <c r="K47" s="105" t="s">
        <v>23</v>
      </c>
      <c r="L47" s="106" t="s">
        <v>23</v>
      </c>
      <c r="M47" s="166"/>
      <c r="N47" s="165" t="s">
        <v>23</v>
      </c>
      <c r="O47" s="188"/>
      <c r="P47" s="167"/>
      <c r="Q47" s="45"/>
    </row>
    <row r="48" spans="1:17" ht="15" customHeight="1">
      <c r="A48" s="97"/>
      <c r="B48" s="35" t="s">
        <v>67</v>
      </c>
      <c r="C48" s="36"/>
      <c r="D48" s="37"/>
      <c r="E48" s="113" t="s">
        <v>132</v>
      </c>
      <c r="F48" s="467" t="s">
        <v>23</v>
      </c>
      <c r="G48" s="103" t="s">
        <v>23</v>
      </c>
      <c r="H48" s="103" t="s">
        <v>23</v>
      </c>
      <c r="I48" s="104" t="s">
        <v>23</v>
      </c>
      <c r="J48" s="105" t="s">
        <v>23</v>
      </c>
      <c r="K48" s="105" t="s">
        <v>23</v>
      </c>
      <c r="L48" s="106" t="s">
        <v>23</v>
      </c>
      <c r="M48" s="110"/>
      <c r="N48" s="110"/>
      <c r="O48" s="114"/>
      <c r="P48" s="115"/>
      <c r="Q48" s="45"/>
    </row>
    <row r="49" spans="1:17" ht="15" customHeight="1">
      <c r="A49" s="116"/>
      <c r="B49" s="38" t="s">
        <v>135</v>
      </c>
      <c r="C49" s="36"/>
      <c r="D49" s="37"/>
      <c r="E49" s="86" t="s">
        <v>129</v>
      </c>
      <c r="F49" s="468"/>
      <c r="G49" s="87"/>
      <c r="H49" s="87"/>
      <c r="I49" s="117"/>
      <c r="J49" s="118"/>
      <c r="K49" s="118"/>
      <c r="L49" s="119"/>
      <c r="M49" s="110"/>
      <c r="N49" s="110"/>
      <c r="O49" s="114"/>
      <c r="P49" s="115"/>
      <c r="Q49" s="45"/>
    </row>
    <row r="50" spans="1:17" ht="15" customHeight="1">
      <c r="A50" s="120"/>
      <c r="B50" s="39" t="s">
        <v>166</v>
      </c>
      <c r="C50" s="30"/>
      <c r="D50" s="95"/>
      <c r="E50" s="132" t="s">
        <v>129</v>
      </c>
      <c r="F50" s="468"/>
      <c r="G50" s="87"/>
      <c r="H50" s="87"/>
      <c r="I50" s="117"/>
      <c r="J50" s="118"/>
      <c r="K50" s="118"/>
      <c r="L50" s="119"/>
      <c r="M50" s="110"/>
      <c r="N50" s="110"/>
      <c r="O50" s="114"/>
      <c r="P50" s="115"/>
      <c r="Q50" s="45"/>
    </row>
    <row r="51" spans="1:17" ht="15" customHeight="1">
      <c r="A51" s="120"/>
      <c r="B51" s="40" t="s">
        <v>167</v>
      </c>
      <c r="C51" s="30"/>
      <c r="D51" s="95"/>
      <c r="E51" s="101"/>
      <c r="F51" s="468"/>
      <c r="G51" s="87"/>
      <c r="H51" s="87"/>
      <c r="I51" s="117"/>
      <c r="J51" s="118"/>
      <c r="K51" s="118"/>
      <c r="L51" s="119"/>
      <c r="M51" s="110"/>
      <c r="N51" s="110"/>
      <c r="O51" s="114"/>
      <c r="P51" s="115"/>
      <c r="Q51" s="45"/>
    </row>
    <row r="52" spans="1:17" ht="15" customHeight="1">
      <c r="A52" s="120"/>
      <c r="B52" s="40"/>
      <c r="C52" s="30" t="s">
        <v>172</v>
      </c>
      <c r="D52" s="95"/>
      <c r="E52" s="102">
        <v>10</v>
      </c>
      <c r="F52" s="468">
        <v>0</v>
      </c>
      <c r="G52" s="122">
        <v>1</v>
      </c>
      <c r="H52" s="123">
        <f t="shared" ref="H52:H58" si="24">E52*$G52</f>
        <v>10</v>
      </c>
      <c r="I52" s="197">
        <v>15</v>
      </c>
      <c r="J52" s="118">
        <f t="shared" ref="J52:J58" si="25">H52*I52</f>
        <v>150</v>
      </c>
      <c r="K52" s="118">
        <f t="shared" ref="K52:K58" si="26">J52*0.05</f>
        <v>7.5</v>
      </c>
      <c r="L52" s="119">
        <f t="shared" ref="L52:L58" si="27">J52*0.1</f>
        <v>15</v>
      </c>
      <c r="M52" s="108">
        <f>J52*'Hourly Rates'!$E$24+K52*'Hourly Rates'!$E$23+L52*'Hourly Rates'!$E$25</f>
        <v>16316.055</v>
      </c>
      <c r="N52" s="108">
        <f t="shared" ref="N52:N58" si="28">F52*G52*I52</f>
        <v>0</v>
      </c>
      <c r="O52" s="111">
        <v>0</v>
      </c>
      <c r="P52" s="463" t="s">
        <v>308</v>
      </c>
      <c r="Q52" s="45"/>
    </row>
    <row r="53" spans="1:17" ht="15" customHeight="1">
      <c r="A53" s="124"/>
      <c r="B53" s="41"/>
      <c r="C53" s="263" t="s">
        <v>291</v>
      </c>
      <c r="D53" s="95"/>
      <c r="E53" s="101">
        <v>15</v>
      </c>
      <c r="F53" s="468">
        <v>0</v>
      </c>
      <c r="G53" s="122">
        <v>1</v>
      </c>
      <c r="H53" s="123">
        <f t="shared" si="24"/>
        <v>15</v>
      </c>
      <c r="I53" s="197">
        <v>15</v>
      </c>
      <c r="J53" s="118">
        <f t="shared" si="25"/>
        <v>225</v>
      </c>
      <c r="K53" s="118">
        <f t="shared" si="26"/>
        <v>11.25</v>
      </c>
      <c r="L53" s="119">
        <f t="shared" si="27"/>
        <v>22.5</v>
      </c>
      <c r="M53" s="99">
        <f>J53*'Hourly Rates'!$E$24+K53*'Hourly Rates'!$E$23+L53*'Hourly Rates'!$E$25</f>
        <v>24474.082499999997</v>
      </c>
      <c r="N53" s="100">
        <f t="shared" si="28"/>
        <v>0</v>
      </c>
      <c r="O53" s="125">
        <v>0</v>
      </c>
      <c r="P53" s="464" t="s">
        <v>308</v>
      </c>
      <c r="Q53" s="45"/>
    </row>
    <row r="54" spans="1:17" ht="15" customHeight="1">
      <c r="A54" s="126"/>
      <c r="B54" s="42"/>
      <c r="C54" s="263" t="s">
        <v>292</v>
      </c>
      <c r="D54" s="95"/>
      <c r="E54" s="101">
        <v>15</v>
      </c>
      <c r="F54" s="468">
        <v>0</v>
      </c>
      <c r="G54" s="122">
        <v>1</v>
      </c>
      <c r="H54" s="123">
        <f t="shared" si="24"/>
        <v>15</v>
      </c>
      <c r="I54" s="197">
        <v>15</v>
      </c>
      <c r="J54" s="118">
        <f t="shared" si="25"/>
        <v>225</v>
      </c>
      <c r="K54" s="118">
        <f t="shared" si="26"/>
        <v>11.25</v>
      </c>
      <c r="L54" s="119">
        <f t="shared" si="27"/>
        <v>22.5</v>
      </c>
      <c r="M54" s="99">
        <f>J54*'Hourly Rates'!$E$24+K54*'Hourly Rates'!$E$23+L54*'Hourly Rates'!$E$25</f>
        <v>24474.082499999997</v>
      </c>
      <c r="N54" s="100">
        <f t="shared" si="28"/>
        <v>0</v>
      </c>
      <c r="O54" s="125">
        <v>0</v>
      </c>
      <c r="P54" s="464" t="s">
        <v>308</v>
      </c>
      <c r="Q54" s="45"/>
    </row>
    <row r="55" spans="1:17" ht="15" customHeight="1">
      <c r="A55" s="126"/>
      <c r="B55" s="39"/>
      <c r="C55" s="263" t="s">
        <v>293</v>
      </c>
      <c r="D55" s="95"/>
      <c r="E55" s="102">
        <v>10</v>
      </c>
      <c r="F55" s="468">
        <v>0</v>
      </c>
      <c r="G55" s="122">
        <v>1</v>
      </c>
      <c r="H55" s="123">
        <f t="shared" si="24"/>
        <v>10</v>
      </c>
      <c r="I55" s="197">
        <v>15</v>
      </c>
      <c r="J55" s="118">
        <f t="shared" si="25"/>
        <v>150</v>
      </c>
      <c r="K55" s="118">
        <f t="shared" si="26"/>
        <v>7.5</v>
      </c>
      <c r="L55" s="119">
        <f t="shared" si="27"/>
        <v>15</v>
      </c>
      <c r="M55" s="99">
        <f>J55*'Hourly Rates'!$E$24+K55*'Hourly Rates'!$E$23+L55*'Hourly Rates'!$E$25</f>
        <v>16316.055</v>
      </c>
      <c r="N55" s="100">
        <f t="shared" si="28"/>
        <v>0</v>
      </c>
      <c r="O55" s="114">
        <v>0</v>
      </c>
      <c r="P55" s="464" t="s">
        <v>308</v>
      </c>
      <c r="Q55" s="45"/>
    </row>
    <row r="56" spans="1:17" ht="15" customHeight="1">
      <c r="A56" s="126"/>
      <c r="B56" s="39"/>
      <c r="C56" s="441" t="s">
        <v>294</v>
      </c>
      <c r="D56" s="109"/>
      <c r="E56" s="127">
        <v>25</v>
      </c>
      <c r="F56" s="468">
        <v>0</v>
      </c>
      <c r="G56" s="122">
        <v>1</v>
      </c>
      <c r="H56" s="123">
        <f t="shared" si="24"/>
        <v>25</v>
      </c>
      <c r="I56" s="197">
        <v>15</v>
      </c>
      <c r="J56" s="118">
        <f t="shared" si="25"/>
        <v>375</v>
      </c>
      <c r="K56" s="118">
        <f t="shared" si="26"/>
        <v>18.75</v>
      </c>
      <c r="L56" s="119">
        <f t="shared" si="27"/>
        <v>37.5</v>
      </c>
      <c r="M56" s="99">
        <f>J56*'Hourly Rates'!$E$24+K56*'Hourly Rates'!$E$23+L56*'Hourly Rates'!$E$25</f>
        <v>40790.137499999997</v>
      </c>
      <c r="N56" s="452">
        <f t="shared" si="28"/>
        <v>0</v>
      </c>
      <c r="O56" s="193">
        <v>0</v>
      </c>
      <c r="P56" s="464" t="s">
        <v>308</v>
      </c>
      <c r="Q56" s="45"/>
    </row>
    <row r="57" spans="1:17" ht="15" customHeight="1">
      <c r="A57" s="128"/>
      <c r="B57" s="37"/>
      <c r="C57" s="442" t="s">
        <v>295</v>
      </c>
      <c r="D57" s="129"/>
      <c r="E57" s="444">
        <v>10</v>
      </c>
      <c r="F57" s="469">
        <v>0</v>
      </c>
      <c r="G57" s="445">
        <v>1</v>
      </c>
      <c r="H57" s="446">
        <f t="shared" si="24"/>
        <v>10</v>
      </c>
      <c r="I57" s="447">
        <v>15</v>
      </c>
      <c r="J57" s="448">
        <f t="shared" si="25"/>
        <v>150</v>
      </c>
      <c r="K57" s="448">
        <f t="shared" si="26"/>
        <v>7.5</v>
      </c>
      <c r="L57" s="449">
        <f t="shared" si="27"/>
        <v>15</v>
      </c>
      <c r="M57" s="99">
        <f>J57*'Hourly Rates'!$E$24+K57*'Hourly Rates'!$E$23+L57*'Hourly Rates'!$E$25</f>
        <v>16316.055</v>
      </c>
      <c r="N57" s="453">
        <f t="shared" si="28"/>
        <v>0</v>
      </c>
      <c r="O57" s="193">
        <v>0</v>
      </c>
      <c r="P57" s="464" t="s">
        <v>308</v>
      </c>
      <c r="Q57" s="45"/>
    </row>
    <row r="58" spans="1:17" ht="15" customHeight="1">
      <c r="A58" s="177"/>
      <c r="B58" s="176"/>
      <c r="C58" s="443" t="s">
        <v>296</v>
      </c>
      <c r="D58" s="176"/>
      <c r="E58" s="181">
        <v>10</v>
      </c>
      <c r="F58" s="469">
        <v>0</v>
      </c>
      <c r="G58" s="445">
        <v>1</v>
      </c>
      <c r="H58" s="446">
        <f t="shared" si="24"/>
        <v>10</v>
      </c>
      <c r="I58" s="447">
        <v>15</v>
      </c>
      <c r="J58" s="448">
        <f t="shared" si="25"/>
        <v>150</v>
      </c>
      <c r="K58" s="448">
        <f t="shared" si="26"/>
        <v>7.5</v>
      </c>
      <c r="L58" s="449">
        <f t="shared" si="27"/>
        <v>15</v>
      </c>
      <c r="M58" s="99">
        <f>J58*'Hourly Rates'!$E$24+K58*'Hourly Rates'!$E$23+L58*'Hourly Rates'!$E$25</f>
        <v>16316.055</v>
      </c>
      <c r="N58" s="453">
        <f t="shared" si="28"/>
        <v>0</v>
      </c>
      <c r="O58" s="193">
        <v>0</v>
      </c>
      <c r="P58" s="464" t="s">
        <v>308</v>
      </c>
      <c r="Q58" s="45"/>
    </row>
    <row r="59" spans="1:17" ht="15" customHeight="1">
      <c r="A59" s="126"/>
      <c r="B59" s="42" t="s">
        <v>168</v>
      </c>
      <c r="C59" s="32"/>
      <c r="D59" s="32"/>
      <c r="E59" s="181" t="s">
        <v>130</v>
      </c>
      <c r="F59" s="200" t="s">
        <v>23</v>
      </c>
      <c r="G59" s="189"/>
      <c r="H59" s="189"/>
      <c r="I59" s="189"/>
      <c r="J59" s="195"/>
      <c r="K59" s="195"/>
      <c r="L59" s="195" t="s">
        <v>23</v>
      </c>
      <c r="M59" s="110"/>
      <c r="N59" s="110"/>
      <c r="O59" s="193"/>
      <c r="P59" s="130"/>
      <c r="Q59" s="45"/>
    </row>
    <row r="60" spans="1:17" ht="15" customHeight="1">
      <c r="A60" s="131"/>
      <c r="B60" s="37" t="s">
        <v>169</v>
      </c>
      <c r="C60" s="37"/>
      <c r="D60" s="129"/>
      <c r="E60" s="450" t="s">
        <v>129</v>
      </c>
      <c r="F60" s="261"/>
      <c r="G60" s="261"/>
      <c r="H60" s="261"/>
      <c r="I60" s="261"/>
      <c r="J60" s="261"/>
      <c r="K60" s="261"/>
      <c r="L60" s="261"/>
      <c r="M60" s="94"/>
      <c r="N60" s="451"/>
      <c r="O60" s="133"/>
      <c r="P60" s="134"/>
      <c r="Q60" s="45"/>
    </row>
    <row r="61" spans="1:17" ht="15" customHeight="1" thickBot="1">
      <c r="A61" s="112" t="s">
        <v>82</v>
      </c>
      <c r="B61" s="43"/>
      <c r="C61" s="43"/>
      <c r="D61" s="43"/>
      <c r="E61" s="135"/>
      <c r="F61" s="135"/>
      <c r="G61" s="135"/>
      <c r="H61" s="135"/>
      <c r="I61" s="135"/>
      <c r="J61" s="135">
        <f>SUM(J48:J60)</f>
        <v>1425</v>
      </c>
      <c r="K61" s="135">
        <f>SUM(K48:K60)</f>
        <v>71.25</v>
      </c>
      <c r="L61" s="135">
        <f>SUM(L48:L60)</f>
        <v>142.5</v>
      </c>
      <c r="M61" s="136">
        <f>J61*'Hourly Rates'!$E$24+K61*'Hourly Rates'!$E$23+L61*'Hourly Rates'!$E$25</f>
        <v>155002.52249999999</v>
      </c>
      <c r="N61" s="137">
        <f>SUM(N48:N60)</f>
        <v>0</v>
      </c>
      <c r="O61" s="138">
        <f>SUM(O48:O60)</f>
        <v>0</v>
      </c>
      <c r="P61" s="465"/>
      <c r="Q61" s="45"/>
    </row>
    <row r="62" spans="1:17" ht="15" customHeight="1" thickBot="1">
      <c r="A62" s="139" t="s">
        <v>54</v>
      </c>
      <c r="B62" s="140"/>
      <c r="C62" s="140"/>
      <c r="D62" s="140"/>
      <c r="E62" s="141"/>
      <c r="F62" s="141"/>
      <c r="G62" s="141"/>
      <c r="H62" s="141"/>
      <c r="I62" s="142"/>
      <c r="J62" s="143">
        <f>SUM(J46,J61)</f>
        <v>2856.6</v>
      </c>
      <c r="K62" s="143">
        <f>SUM(K46,K61)</f>
        <v>142.83000000000001</v>
      </c>
      <c r="L62" s="143">
        <f>SUM(L46,L61)</f>
        <v>285.66000000000003</v>
      </c>
      <c r="M62" s="144">
        <f>J62*'Hourly Rates'!$E$24+K62*'Hourly Rates'!$E$23+L62*'Hourly Rates'!$E$25</f>
        <v>310722.95142</v>
      </c>
      <c r="N62" s="145">
        <f>SUM(N46,N61)</f>
        <v>1013311.7068250889</v>
      </c>
      <c r="O62" s="143">
        <f>SUM(O46,O61)</f>
        <v>30</v>
      </c>
      <c r="P62" s="146"/>
      <c r="Q62" s="45"/>
    </row>
    <row r="63" spans="1:17" ht="15" customHeight="1">
      <c r="A63" s="147"/>
      <c r="B63" s="29"/>
      <c r="C63" s="29"/>
      <c r="D63" s="29"/>
      <c r="E63" s="148"/>
      <c r="F63" s="148"/>
      <c r="G63" s="148"/>
      <c r="H63" s="148"/>
      <c r="I63" s="148"/>
      <c r="J63" s="149"/>
      <c r="K63" s="149" t="s">
        <v>55</v>
      </c>
      <c r="L63" s="149" t="s">
        <v>61</v>
      </c>
      <c r="M63" s="150" t="s">
        <v>62</v>
      </c>
      <c r="N63" s="150" t="s">
        <v>41</v>
      </c>
      <c r="O63" s="151"/>
      <c r="P63" s="152"/>
    </row>
    <row r="64" spans="1:17" ht="15" customHeight="1">
      <c r="A64" s="147"/>
      <c r="B64" s="29"/>
      <c r="C64" s="29"/>
      <c r="D64" s="29"/>
      <c r="E64" s="148"/>
      <c r="F64" s="148"/>
      <c r="G64" s="148"/>
      <c r="H64" s="400" t="s">
        <v>60</v>
      </c>
      <c r="I64" s="148"/>
      <c r="J64" s="149"/>
      <c r="K64" s="149">
        <f>SUM(J62:L62)</f>
        <v>3285.0899999999997</v>
      </c>
      <c r="L64" s="154">
        <f>M62</f>
        <v>310722.95142</v>
      </c>
      <c r="M64" s="154">
        <f>N62</f>
        <v>1013311.7068250889</v>
      </c>
      <c r="N64" s="154">
        <f>SUM(L64:M64)</f>
        <v>1324034.658245089</v>
      </c>
      <c r="O64" s="151"/>
      <c r="P64" s="152"/>
    </row>
    <row r="65" spans="1:17" ht="15" customHeight="1">
      <c r="A65" s="147"/>
      <c r="B65" s="29"/>
      <c r="C65" s="29"/>
      <c r="D65" s="29"/>
      <c r="E65" s="148"/>
      <c r="F65" s="148"/>
      <c r="G65" s="148"/>
      <c r="H65" s="400" t="s">
        <v>112</v>
      </c>
      <c r="I65" s="148"/>
      <c r="J65" s="149"/>
      <c r="K65" s="149" t="s">
        <v>23</v>
      </c>
      <c r="L65" s="154"/>
      <c r="M65" s="154">
        <f>N34+N16</f>
        <v>0</v>
      </c>
      <c r="N65" s="154"/>
      <c r="O65" s="151"/>
      <c r="P65" s="152"/>
    </row>
    <row r="66" spans="1:17" ht="15" customHeight="1">
      <c r="A66" s="147"/>
      <c r="B66" s="29"/>
      <c r="C66" s="29"/>
      <c r="D66" s="29"/>
      <c r="E66" s="148"/>
      <c r="F66" s="148"/>
      <c r="G66" s="148"/>
      <c r="H66" s="518" t="s">
        <v>113</v>
      </c>
      <c r="I66" s="518"/>
      <c r="J66" s="518"/>
      <c r="K66" s="518"/>
      <c r="L66" s="154" t="s">
        <v>23</v>
      </c>
      <c r="M66" s="154">
        <f>N46</f>
        <v>1013311.7068250889</v>
      </c>
      <c r="N66" s="154"/>
      <c r="O66" s="151"/>
      <c r="P66" s="152"/>
    </row>
    <row r="67" spans="1:17" ht="15" customHeight="1" thickBot="1">
      <c r="A67" s="44"/>
      <c r="B67" s="155"/>
      <c r="C67" s="43"/>
      <c r="D67" s="43"/>
      <c r="E67" s="156"/>
      <c r="F67" s="156"/>
      <c r="G67" s="156"/>
      <c r="H67" s="156"/>
      <c r="I67" s="156"/>
      <c r="J67" s="157"/>
      <c r="K67" s="157"/>
      <c r="L67" s="157"/>
      <c r="M67" s="157"/>
      <c r="N67" s="158"/>
      <c r="O67" s="158"/>
      <c r="P67" s="159"/>
    </row>
    <row r="68" spans="1:17" ht="15" customHeight="1">
      <c r="A68" s="45" t="s">
        <v>68</v>
      </c>
      <c r="B68" s="46"/>
      <c r="D68" s="160"/>
      <c r="E68" s="161"/>
      <c r="F68" s="161"/>
      <c r="G68" s="46"/>
      <c r="H68" s="46"/>
    </row>
    <row r="69" spans="1:17" ht="15" customHeight="1">
      <c r="A69" s="47" t="s">
        <v>56</v>
      </c>
      <c r="B69" s="45" t="s">
        <v>58</v>
      </c>
      <c r="E69" s="45"/>
      <c r="F69" s="161"/>
      <c r="G69" s="46"/>
      <c r="H69" s="46"/>
    </row>
    <row r="70" spans="1:17" ht="15" customHeight="1">
      <c r="A70" s="47" t="s">
        <v>57</v>
      </c>
      <c r="B70" s="45" t="s">
        <v>104</v>
      </c>
      <c r="E70" s="45"/>
      <c r="F70" s="161"/>
      <c r="G70" s="46"/>
      <c r="H70" s="46"/>
    </row>
    <row r="71" spans="1:17" ht="15" customHeight="1">
      <c r="A71" s="393" t="s">
        <v>19</v>
      </c>
      <c r="B71" s="259" t="s">
        <v>397</v>
      </c>
      <c r="E71" s="45"/>
      <c r="F71" s="161"/>
      <c r="G71" s="46"/>
      <c r="H71" s="46"/>
    </row>
    <row r="72" spans="1:17" ht="15" customHeight="1">
      <c r="A72" s="393" t="s">
        <v>53</v>
      </c>
      <c r="B72" s="259" t="s">
        <v>398</v>
      </c>
      <c r="E72" s="45"/>
      <c r="F72" s="161"/>
      <c r="G72" s="46"/>
      <c r="H72" s="46"/>
    </row>
    <row r="73" spans="1:17" ht="15" customHeight="1">
      <c r="A73" s="393" t="s">
        <v>51</v>
      </c>
      <c r="B73" s="259" t="s">
        <v>399</v>
      </c>
      <c r="E73" s="45"/>
      <c r="F73" s="161"/>
      <c r="G73" s="46"/>
      <c r="H73" s="46"/>
    </row>
    <row r="74" spans="1:17" ht="15" customHeight="1">
      <c r="A74" s="393" t="s">
        <v>32</v>
      </c>
      <c r="B74" s="259" t="s">
        <v>396</v>
      </c>
      <c r="E74" s="45"/>
      <c r="F74" s="161"/>
      <c r="G74" s="46"/>
      <c r="H74" s="46"/>
    </row>
    <row r="75" spans="1:17" ht="15" customHeight="1">
      <c r="A75" s="393" t="s">
        <v>228</v>
      </c>
      <c r="B75" s="259" t="s">
        <v>400</v>
      </c>
      <c r="E75" s="45"/>
      <c r="F75" s="161"/>
      <c r="G75" s="46"/>
      <c r="H75" s="46"/>
    </row>
    <row r="76" spans="1:17" ht="12" customHeight="1">
      <c r="A76" s="393" t="s">
        <v>300</v>
      </c>
      <c r="B76" s="523" t="s">
        <v>401</v>
      </c>
      <c r="C76" s="523"/>
      <c r="D76" s="523"/>
      <c r="E76" s="523"/>
      <c r="F76" s="523"/>
      <c r="G76" s="523"/>
      <c r="H76" s="523"/>
      <c r="I76" s="523"/>
      <c r="J76" s="523"/>
      <c r="K76" s="523"/>
      <c r="L76" s="523"/>
      <c r="M76" s="523"/>
      <c r="N76" s="523"/>
      <c r="O76" s="523"/>
      <c r="P76" s="523"/>
      <c r="Q76" s="523"/>
    </row>
    <row r="77" spans="1:17" ht="15" customHeight="1">
      <c r="A77" s="393"/>
      <c r="B77" s="523"/>
      <c r="C77" s="523"/>
      <c r="D77" s="523"/>
      <c r="E77" s="523"/>
      <c r="F77" s="523"/>
      <c r="G77" s="523"/>
      <c r="H77" s="523"/>
      <c r="I77" s="523"/>
      <c r="J77" s="523"/>
      <c r="K77" s="523"/>
      <c r="L77" s="523"/>
      <c r="M77" s="523"/>
      <c r="N77" s="523"/>
      <c r="O77" s="523"/>
      <c r="P77" s="523"/>
      <c r="Q77" s="523"/>
    </row>
    <row r="78" spans="1:17" ht="15" customHeight="1">
      <c r="A78" s="393" t="s">
        <v>91</v>
      </c>
      <c r="B78" s="259" t="s">
        <v>386</v>
      </c>
      <c r="E78" s="45"/>
      <c r="F78" s="161"/>
      <c r="G78" s="46"/>
      <c r="H78" s="46"/>
    </row>
    <row r="79" spans="1:17" ht="15" customHeight="1">
      <c r="A79" s="393" t="s">
        <v>128</v>
      </c>
      <c r="B79" s="293" t="s">
        <v>229</v>
      </c>
      <c r="E79" s="45"/>
      <c r="F79" s="161"/>
      <c r="G79" s="46"/>
      <c r="H79" s="46"/>
    </row>
    <row r="80" spans="1:17" ht="15" customHeight="1">
      <c r="A80" s="393" t="s">
        <v>307</v>
      </c>
      <c r="B80" s="45" t="s">
        <v>105</v>
      </c>
      <c r="E80" s="45"/>
      <c r="F80" s="161"/>
      <c r="G80" s="46"/>
      <c r="H80" s="46"/>
    </row>
    <row r="81" spans="1:17">
      <c r="A81" s="393" t="s">
        <v>134</v>
      </c>
      <c r="B81" s="259" t="s">
        <v>309</v>
      </c>
    </row>
    <row r="82" spans="1:17" ht="15">
      <c r="A82" s="46"/>
      <c r="C82" s="48"/>
      <c r="D82" s="49"/>
      <c r="E82" s="49"/>
      <c r="F82" s="151"/>
      <c r="G82" s="163"/>
      <c r="H82" s="163"/>
      <c r="I82" s="163"/>
      <c r="J82" s="163"/>
      <c r="K82" s="164"/>
      <c r="L82" s="151"/>
      <c r="M82" s="45"/>
      <c r="N82" s="45"/>
      <c r="O82" s="45"/>
      <c r="P82" s="45"/>
      <c r="Q82" s="45"/>
    </row>
    <row r="83" spans="1:17">
      <c r="E83" s="151"/>
      <c r="F83" s="151"/>
      <c r="G83" s="151"/>
    </row>
    <row r="84" spans="1:17">
      <c r="F84" s="151"/>
      <c r="G84" s="151"/>
    </row>
    <row r="85" spans="1:17">
      <c r="F85" s="151"/>
      <c r="G85" s="151"/>
    </row>
    <row r="86" spans="1:17">
      <c r="F86" s="151"/>
      <c r="G86" s="151"/>
    </row>
    <row r="87" spans="1:17">
      <c r="F87" s="151"/>
      <c r="G87" s="151"/>
    </row>
    <row r="88" spans="1:17">
      <c r="F88" s="151"/>
      <c r="G88" s="151"/>
    </row>
    <row r="89" spans="1:17" ht="10.15" customHeight="1">
      <c r="F89" s="151"/>
      <c r="G89" s="151"/>
    </row>
    <row r="90" spans="1:17">
      <c r="F90" s="151"/>
      <c r="G90" s="151"/>
    </row>
  </sheetData>
  <mergeCells count="5">
    <mergeCell ref="A5:Q5"/>
    <mergeCell ref="A6:Q6"/>
    <mergeCell ref="P7:P12"/>
    <mergeCell ref="H66:K66"/>
    <mergeCell ref="B76:Q77"/>
  </mergeCells>
  <printOptions horizontalCentered="1" gridLinesSet="0"/>
  <pageMargins left="0.5" right="0.5" top="0.5" bottom="0.5" header="0.5" footer="0.19"/>
  <pageSetup scale="4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16">
    <pageSetUpPr fitToPage="1"/>
  </sheetPr>
  <dimension ref="A1:AA37"/>
  <sheetViews>
    <sheetView zoomScaleNormal="100" zoomScaleSheetLayoutView="100" workbookViewId="0">
      <selection activeCell="B1" sqref="B1:B2"/>
    </sheetView>
  </sheetViews>
  <sheetFormatPr defaultRowHeight="10.5"/>
  <cols>
    <col min="1" max="1" width="10.83203125" style="22" customWidth="1"/>
    <col min="2" max="2" width="21.5" style="22" customWidth="1"/>
    <col min="3" max="3" width="20.1640625" style="22" customWidth="1"/>
    <col min="4" max="5" width="17.1640625" style="22" customWidth="1"/>
    <col min="6" max="6" width="15" style="22" customWidth="1"/>
    <col min="7" max="7" width="21.33203125" style="22" customWidth="1"/>
    <col min="8" max="8" width="21.6640625" style="22" customWidth="1"/>
    <col min="9" max="9" width="17.5" style="22" customWidth="1"/>
    <col min="10" max="11" width="9.33203125" style="22"/>
    <col min="12" max="12" width="12.1640625" style="22" bestFit="1" customWidth="1"/>
    <col min="13" max="13" width="13.5" style="22" bestFit="1" customWidth="1"/>
    <col min="14" max="26" width="9.33203125" style="22"/>
    <col min="27" max="27" width="14.33203125" style="22" bestFit="1" customWidth="1"/>
    <col min="28" max="16384" width="9.33203125" style="22"/>
  </cols>
  <sheetData>
    <row r="1" spans="1:17" ht="14.25">
      <c r="B1" s="392"/>
    </row>
    <row r="2" spans="1:17" ht="14.25">
      <c r="B2" s="470"/>
    </row>
    <row r="3" spans="1:17" ht="14.25">
      <c r="B3" s="507"/>
    </row>
    <row r="4" spans="1:17" ht="44.25" customHeight="1" thickBot="1">
      <c r="A4" s="524" t="s">
        <v>207</v>
      </c>
      <c r="B4" s="524"/>
      <c r="C4" s="524"/>
      <c r="D4" s="524"/>
      <c r="E4" s="524"/>
      <c r="F4" s="524"/>
      <c r="G4" s="524"/>
      <c r="H4" s="524"/>
      <c r="I4" s="218"/>
    </row>
    <row r="5" spans="1:17" s="267" customFormat="1" ht="56.25" customHeight="1" thickBot="1">
      <c r="A5" s="264" t="s">
        <v>90</v>
      </c>
      <c r="B5" s="265" t="s">
        <v>92</v>
      </c>
      <c r="C5" s="265" t="s">
        <v>93</v>
      </c>
      <c r="D5" s="265" t="s">
        <v>94</v>
      </c>
      <c r="E5" s="265" t="s">
        <v>55</v>
      </c>
      <c r="F5" s="265" t="s">
        <v>45</v>
      </c>
      <c r="G5" s="265" t="s">
        <v>114</v>
      </c>
      <c r="H5" s="266" t="s">
        <v>95</v>
      </c>
    </row>
    <row r="6" spans="1:17" s="267" customFormat="1" ht="13.5" thickTop="1">
      <c r="A6" s="268">
        <v>1</v>
      </c>
      <c r="B6" s="269">
        <f>+'PVC YR 1'!J62</f>
        <v>2540</v>
      </c>
      <c r="C6" s="269">
        <f>+'PVC YR 1'!K62</f>
        <v>127</v>
      </c>
      <c r="D6" s="269">
        <f>+'PVC YR 1'!L62</f>
        <v>254</v>
      </c>
      <c r="E6" s="269">
        <f>SUM(B6:D6)</f>
        <v>2921</v>
      </c>
      <c r="F6" s="270">
        <f>'PVC YR 1'!M62</f>
        <v>276285.19800000003</v>
      </c>
      <c r="G6" s="270">
        <f>'PVC YR 1'!N62</f>
        <v>2630128.0890322477</v>
      </c>
      <c r="H6" s="271">
        <f>+F6+G6</f>
        <v>2906413.2870322475</v>
      </c>
    </row>
    <row r="7" spans="1:17" s="267" customFormat="1" ht="12.75">
      <c r="A7" s="272">
        <v>2</v>
      </c>
      <c r="B7" s="273">
        <f>+'PVC YR 2'!J62</f>
        <v>2856.6</v>
      </c>
      <c r="C7" s="273">
        <f>+'PVC YR 2'!K62</f>
        <v>142.83000000000001</v>
      </c>
      <c r="D7" s="273">
        <f>+'PVC YR 2'!L62</f>
        <v>285.66000000000003</v>
      </c>
      <c r="E7" s="269">
        <f>SUM(B7:D7)</f>
        <v>3285.0899999999997</v>
      </c>
      <c r="F7" s="274">
        <f>'PVC YR 2'!M62</f>
        <v>310722.95142</v>
      </c>
      <c r="G7" s="274">
        <f>'PVC YR 2'!N62</f>
        <v>1013311.7068250889</v>
      </c>
      <c r="H7" s="271">
        <f>+F7+G7</f>
        <v>1324034.658245089</v>
      </c>
    </row>
    <row r="8" spans="1:17" s="267" customFormat="1" ht="13.5" thickBot="1">
      <c r="A8" s="275">
        <v>3</v>
      </c>
      <c r="B8" s="276">
        <f>'PVC YR 3'!J62</f>
        <v>2856.6</v>
      </c>
      <c r="C8" s="276">
        <f>+'PVC YR 3'!K62</f>
        <v>142.83000000000001</v>
      </c>
      <c r="D8" s="276">
        <f>+'PVC YR 3'!L62</f>
        <v>285.66000000000003</v>
      </c>
      <c r="E8" s="276">
        <f>SUM(B8:D8)</f>
        <v>3285.0899999999997</v>
      </c>
      <c r="F8" s="277">
        <f>'PVC YR 3'!M62</f>
        <v>310722.95142</v>
      </c>
      <c r="G8" s="277">
        <f>'PVC YR 3'!N62</f>
        <v>1013311.7068250889</v>
      </c>
      <c r="H8" s="278">
        <f>+F8+G8</f>
        <v>1324034.658245089</v>
      </c>
    </row>
    <row r="9" spans="1:17" s="267" customFormat="1" ht="13.5" thickTop="1">
      <c r="A9" s="268" t="s">
        <v>41</v>
      </c>
      <c r="B9" s="269">
        <f t="shared" ref="B9:H9" si="0">SUM(B6:B8)</f>
        <v>8253.2000000000007</v>
      </c>
      <c r="C9" s="269">
        <f t="shared" si="0"/>
        <v>412.66000000000008</v>
      </c>
      <c r="D9" s="269">
        <f t="shared" si="0"/>
        <v>825.32000000000016</v>
      </c>
      <c r="E9" s="269">
        <f>SUM(E6:E8)</f>
        <v>9491.18</v>
      </c>
      <c r="F9" s="270">
        <f t="shared" si="0"/>
        <v>897731.10083999997</v>
      </c>
      <c r="G9" s="270">
        <f t="shared" si="0"/>
        <v>4656751.5026824251</v>
      </c>
      <c r="H9" s="271">
        <f t="shared" si="0"/>
        <v>5554482.6035224255</v>
      </c>
    </row>
    <row r="10" spans="1:17" s="267" customFormat="1" ht="13.5" thickBot="1">
      <c r="A10" s="279" t="s">
        <v>87</v>
      </c>
      <c r="B10" s="280">
        <f t="shared" ref="B10:H10" si="1">AVERAGE(B6:B8)</f>
        <v>2751.0666666666671</v>
      </c>
      <c r="C10" s="280">
        <f t="shared" si="1"/>
        <v>137.55333333333337</v>
      </c>
      <c r="D10" s="280">
        <f t="shared" si="1"/>
        <v>275.10666666666674</v>
      </c>
      <c r="E10" s="280">
        <f>AVERAGE(E6:E8)</f>
        <v>3163.7266666666669</v>
      </c>
      <c r="F10" s="281">
        <f t="shared" si="1"/>
        <v>299243.70027999999</v>
      </c>
      <c r="G10" s="281">
        <f t="shared" si="1"/>
        <v>1552250.5008941416</v>
      </c>
      <c r="H10" s="282">
        <f t="shared" si="1"/>
        <v>1851494.2011741418</v>
      </c>
    </row>
    <row r="13" spans="1:17" ht="15.75">
      <c r="A13" s="519"/>
      <c r="B13" s="519"/>
      <c r="C13" s="519"/>
      <c r="D13" s="519"/>
      <c r="E13" s="519"/>
      <c r="F13" s="519"/>
      <c r="G13" s="519"/>
      <c r="H13" s="519"/>
      <c r="I13" s="519"/>
      <c r="J13" s="519"/>
      <c r="K13" s="519"/>
      <c r="L13" s="519"/>
      <c r="M13" s="519"/>
      <c r="N13" s="519"/>
      <c r="O13" s="519"/>
      <c r="P13" s="519"/>
      <c r="Q13" s="519"/>
    </row>
    <row r="20" spans="4:27">
      <c r="D20"/>
      <c r="E20"/>
      <c r="F20"/>
    </row>
    <row r="21" spans="4:27">
      <c r="D21"/>
      <c r="E21"/>
      <c r="F21"/>
    </row>
    <row r="22" spans="4:27">
      <c r="D22"/>
      <c r="E22"/>
      <c r="F22"/>
    </row>
    <row r="23" spans="4:27">
      <c r="D23"/>
      <c r="E23"/>
      <c r="F23"/>
      <c r="AA23" s="23"/>
    </row>
    <row r="24" spans="4:27">
      <c r="D24"/>
      <c r="E24"/>
      <c r="F24"/>
      <c r="AA24" s="23"/>
    </row>
    <row r="25" spans="4:27">
      <c r="D25"/>
      <c r="E25"/>
      <c r="F25"/>
    </row>
    <row r="27" spans="4:27">
      <c r="Y27" s="25"/>
    </row>
    <row r="31" spans="4:27">
      <c r="Y31" s="25"/>
    </row>
    <row r="34" spans="25:25">
      <c r="Y34" s="25"/>
    </row>
    <row r="37" spans="25:25">
      <c r="Y37" s="25"/>
    </row>
  </sheetData>
  <mergeCells count="2">
    <mergeCell ref="A4:H4"/>
    <mergeCell ref="A13:Q13"/>
  </mergeCells>
  <phoneticPr fontId="18" type="noConversion"/>
  <printOptions horizontalCentered="1"/>
  <pageMargins left="0.75" right="0.75" top="1" bottom="1" header="0.5" footer="0.5"/>
  <pageSetup scale="95" orientation="landscape" r:id="rId1"/>
  <headerFooter alignWithMargins="0"/>
</worksheet>
</file>

<file path=xl/worksheets/sheet6.xml><?xml version="1.0" encoding="utf-8"?>
<worksheet xmlns="http://schemas.openxmlformats.org/spreadsheetml/2006/main" xmlns:r="http://schemas.openxmlformats.org/officeDocument/2006/relationships">
  <sheetPr codeName="Sheet17">
    <pageSetUpPr fitToPage="1"/>
  </sheetPr>
  <dimension ref="A1:N48"/>
  <sheetViews>
    <sheetView showGridLines="0" zoomScaleNormal="100" zoomScaleSheetLayoutView="100" workbookViewId="0">
      <selection activeCell="D1" sqref="D1:D2"/>
    </sheetView>
  </sheetViews>
  <sheetFormatPr defaultColWidth="9.1640625" defaultRowHeight="12.75"/>
  <cols>
    <col min="1" max="3" width="3.6640625" style="284" customWidth="1"/>
    <col min="4" max="4" width="36.1640625" style="284" customWidth="1"/>
    <col min="5" max="5" width="7.1640625" style="284" customWidth="1"/>
    <col min="6" max="6" width="12.83203125" style="284" customWidth="1"/>
    <col min="7" max="7" width="5" style="284" customWidth="1"/>
    <col min="8" max="8" width="13.6640625" style="284" customWidth="1"/>
    <col min="9" max="9" width="16.5" style="284" customWidth="1"/>
    <col min="10" max="10" width="17.1640625" style="284" customWidth="1"/>
    <col min="11" max="11" width="14.1640625" style="284" customWidth="1"/>
    <col min="12" max="12" width="15.6640625" style="284" customWidth="1"/>
    <col min="13" max="16384" width="9.1640625" style="284"/>
  </cols>
  <sheetData>
    <row r="1" spans="1:14" ht="14.25">
      <c r="D1" s="392"/>
    </row>
    <row r="2" spans="1:14" ht="14.25">
      <c r="D2" s="470"/>
    </row>
    <row r="3" spans="1:14" ht="14.25">
      <c r="D3" s="507"/>
    </row>
    <row r="4" spans="1:14" ht="42.75" customHeight="1" thickBot="1">
      <c r="A4" s="529" t="s">
        <v>208</v>
      </c>
      <c r="B4" s="529"/>
      <c r="C4" s="529"/>
      <c r="D4" s="529"/>
      <c r="E4" s="529"/>
      <c r="F4" s="529"/>
      <c r="G4" s="529"/>
      <c r="H4" s="529"/>
      <c r="I4" s="529"/>
      <c r="J4" s="529"/>
      <c r="K4" s="529"/>
      <c r="L4" s="529"/>
      <c r="M4" s="283"/>
      <c r="N4" s="283"/>
    </row>
    <row r="5" spans="1:14" s="301" customFormat="1" ht="15" customHeight="1">
      <c r="A5" s="296"/>
      <c r="B5" s="297"/>
      <c r="C5" s="297"/>
      <c r="D5" s="297"/>
      <c r="E5" s="297"/>
      <c r="F5" s="530" t="s">
        <v>37</v>
      </c>
      <c r="G5" s="531"/>
      <c r="H5" s="298" t="s">
        <v>0</v>
      </c>
      <c r="I5" s="299" t="s">
        <v>1</v>
      </c>
      <c r="J5" s="299" t="s">
        <v>2</v>
      </c>
      <c r="K5" s="299" t="s">
        <v>3</v>
      </c>
      <c r="L5" s="300" t="s">
        <v>4</v>
      </c>
    </row>
    <row r="6" spans="1:14" s="301" customFormat="1" ht="39.75" customHeight="1">
      <c r="A6" s="536" t="s">
        <v>13</v>
      </c>
      <c r="B6" s="537"/>
      <c r="C6" s="537"/>
      <c r="D6" s="537"/>
      <c r="E6" s="538"/>
      <c r="F6" s="534" t="s">
        <v>102</v>
      </c>
      <c r="G6" s="535"/>
      <c r="H6" s="302" t="s">
        <v>96</v>
      </c>
      <c r="I6" s="303" t="s">
        <v>99</v>
      </c>
      <c r="J6" s="303" t="s">
        <v>103</v>
      </c>
      <c r="K6" s="303" t="s">
        <v>100</v>
      </c>
      <c r="L6" s="304" t="s">
        <v>101</v>
      </c>
    </row>
    <row r="7" spans="1:14" s="301" customFormat="1" ht="15.75" customHeight="1">
      <c r="A7" s="364" t="s">
        <v>14</v>
      </c>
      <c r="B7" s="305" t="s">
        <v>15</v>
      </c>
      <c r="C7" s="306"/>
      <c r="D7" s="307"/>
      <c r="E7" s="308"/>
      <c r="F7" s="532" t="s">
        <v>16</v>
      </c>
      <c r="G7" s="532"/>
      <c r="H7" s="532"/>
      <c r="I7" s="532"/>
      <c r="J7" s="532"/>
      <c r="K7" s="532"/>
      <c r="L7" s="533"/>
    </row>
    <row r="8" spans="1:14" s="315" customFormat="1" ht="15.75" customHeight="1">
      <c r="A8" s="364" t="s">
        <v>17</v>
      </c>
      <c r="B8" s="305" t="s">
        <v>18</v>
      </c>
      <c r="C8" s="309"/>
      <c r="D8" s="310"/>
      <c r="E8" s="311"/>
      <c r="F8" s="312">
        <v>10</v>
      </c>
      <c r="G8" s="313"/>
      <c r="H8" s="314">
        <v>16</v>
      </c>
      <c r="I8" s="314">
        <f>(F8*H8)</f>
        <v>160</v>
      </c>
      <c r="J8" s="314">
        <f>I8*0.05</f>
        <v>8</v>
      </c>
      <c r="K8" s="314">
        <f>I8*0.1</f>
        <v>16</v>
      </c>
      <c r="L8" s="365">
        <f>(I8*'Hourly Rates'!$D$35+J8*'Hourly Rates'!$D$36+K8*'Hourly Rates'!$D$37)</f>
        <v>8291.5840000000007</v>
      </c>
    </row>
    <row r="9" spans="1:14" s="315" customFormat="1" ht="15.75" customHeight="1">
      <c r="A9" s="364" t="s">
        <v>20</v>
      </c>
      <c r="B9" s="305" t="s">
        <v>21</v>
      </c>
      <c r="C9" s="316"/>
      <c r="D9" s="317"/>
      <c r="E9" s="318"/>
      <c r="F9" s="319"/>
      <c r="G9" s="320"/>
      <c r="H9" s="321"/>
      <c r="I9" s="321"/>
      <c r="J9" s="321"/>
      <c r="K9" s="321"/>
      <c r="L9" s="366"/>
    </row>
    <row r="10" spans="1:14" s="301" customFormat="1" ht="15.75" customHeight="1">
      <c r="A10" s="367">
        <v>0.08</v>
      </c>
      <c r="B10" s="322" t="s">
        <v>22</v>
      </c>
      <c r="C10" s="525" t="s">
        <v>176</v>
      </c>
      <c r="D10" s="526"/>
      <c r="E10" s="526"/>
      <c r="F10" s="323">
        <f>'PVC YR 1'!I19*0.2</f>
        <v>2.8000000000000003</v>
      </c>
      <c r="G10" s="320" t="s">
        <v>57</v>
      </c>
      <c r="H10" s="324">
        <v>48</v>
      </c>
      <c r="I10" s="321">
        <f>(F10*H10)</f>
        <v>134.4</v>
      </c>
      <c r="J10" s="321">
        <f>I10*0.05</f>
        <v>6.7200000000000006</v>
      </c>
      <c r="K10" s="321">
        <f>I10*0.1</f>
        <v>13.440000000000001</v>
      </c>
      <c r="L10" s="366">
        <f>(I10*'Hourly Rates'!$D$35+J10*'Hourly Rates'!$D$36+K10*'Hourly Rates'!$D$37)</f>
        <v>6964.9305600000007</v>
      </c>
    </row>
    <row r="11" spans="1:14" s="301" customFormat="1" ht="15.75" customHeight="1">
      <c r="A11" s="367">
        <f>0.1*0.1</f>
        <v>1.0000000000000002E-2</v>
      </c>
      <c r="B11" s="325" t="s">
        <v>24</v>
      </c>
      <c r="C11" s="326" t="s">
        <v>25</v>
      </c>
      <c r="D11" s="317"/>
      <c r="E11" s="318"/>
      <c r="F11" s="327">
        <f>16*0.1</f>
        <v>1.6</v>
      </c>
      <c r="G11" s="324" t="s">
        <v>53</v>
      </c>
      <c r="H11" s="324">
        <v>24</v>
      </c>
      <c r="I11" s="328">
        <f>(F11*H11)</f>
        <v>38.400000000000006</v>
      </c>
      <c r="J11" s="328">
        <f>I11*0.05</f>
        <v>1.9200000000000004</v>
      </c>
      <c r="K11" s="328">
        <f>I11*0.1</f>
        <v>3.8400000000000007</v>
      </c>
      <c r="L11" s="366">
        <f>(I11*'Hourly Rates'!$D$35+J11*'Hourly Rates'!$D$36+K11*'Hourly Rates'!$D$37)</f>
        <v>1989.9801600000001</v>
      </c>
    </row>
    <row r="12" spans="1:14" s="301" customFormat="1" ht="15.75" customHeight="1">
      <c r="A12" s="367"/>
      <c r="B12" s="329" t="s">
        <v>26</v>
      </c>
      <c r="C12" s="326" t="s">
        <v>27</v>
      </c>
      <c r="D12" s="317"/>
      <c r="E12" s="318"/>
      <c r="F12" s="527" t="s">
        <v>16</v>
      </c>
      <c r="G12" s="527"/>
      <c r="H12" s="527"/>
      <c r="I12" s="527"/>
      <c r="J12" s="527"/>
      <c r="K12" s="527"/>
      <c r="L12" s="528"/>
    </row>
    <row r="13" spans="1:14" s="301" customFormat="1" ht="15.75" customHeight="1">
      <c r="A13" s="367"/>
      <c r="B13" s="329" t="s">
        <v>28</v>
      </c>
      <c r="C13" s="326" t="s">
        <v>29</v>
      </c>
      <c r="D13" s="317"/>
      <c r="E13" s="318"/>
      <c r="F13" s="527" t="s">
        <v>16</v>
      </c>
      <c r="G13" s="527"/>
      <c r="H13" s="527"/>
      <c r="I13" s="527"/>
      <c r="J13" s="527"/>
      <c r="K13" s="527"/>
      <c r="L13" s="528"/>
    </row>
    <row r="14" spans="1:14" s="301" customFormat="1" ht="15.75" customHeight="1">
      <c r="A14" s="367"/>
      <c r="B14" s="330" t="s">
        <v>30</v>
      </c>
      <c r="C14" s="326" t="s">
        <v>31</v>
      </c>
      <c r="D14" s="317"/>
      <c r="E14" s="318"/>
      <c r="F14" s="331"/>
      <c r="G14" s="332"/>
      <c r="H14" s="324"/>
      <c r="I14" s="328"/>
      <c r="J14" s="328"/>
      <c r="K14" s="328"/>
      <c r="L14" s="366"/>
    </row>
    <row r="15" spans="1:14" s="301" customFormat="1" ht="15.75" customHeight="1">
      <c r="A15" s="367"/>
      <c r="B15" s="330"/>
      <c r="C15" s="333" t="s">
        <v>117</v>
      </c>
      <c r="D15" s="334" t="s">
        <v>177</v>
      </c>
      <c r="E15" s="318"/>
      <c r="F15" s="323">
        <f>'PVC YR 1'!I39</f>
        <v>15</v>
      </c>
      <c r="G15" s="332"/>
      <c r="H15" s="324">
        <v>3</v>
      </c>
      <c r="I15" s="328">
        <f>(F15*H15)</f>
        <v>45</v>
      </c>
      <c r="J15" s="328">
        <f>I15*0.05</f>
        <v>2.25</v>
      </c>
      <c r="K15" s="328">
        <f>I15*0.1</f>
        <v>4.5</v>
      </c>
      <c r="L15" s="366">
        <f>(I15*'Hourly Rates'!$D$35+J15*'Hourly Rates'!$D$36+K15*'Hourly Rates'!$D$37)</f>
        <v>2332.0080000000003</v>
      </c>
    </row>
    <row r="16" spans="1:14" s="301" customFormat="1" ht="15.75" customHeight="1">
      <c r="A16" s="367"/>
      <c r="B16" s="330"/>
      <c r="C16" s="333" t="s">
        <v>118</v>
      </c>
      <c r="D16" s="334" t="s">
        <v>211</v>
      </c>
      <c r="E16" s="318"/>
      <c r="F16" s="323">
        <f>'PVC YR 1'!I40</f>
        <v>15</v>
      </c>
      <c r="G16" s="332"/>
      <c r="H16" s="324">
        <v>5</v>
      </c>
      <c r="I16" s="328">
        <f>(F16*H16)</f>
        <v>75</v>
      </c>
      <c r="J16" s="328">
        <f>I16*0.05</f>
        <v>3.75</v>
      </c>
      <c r="K16" s="328">
        <f>I16*0.1</f>
        <v>7.5</v>
      </c>
      <c r="L16" s="366">
        <f>(I16*'Hourly Rates'!$D$35+J16*'Hourly Rates'!$D$36+K16*'Hourly Rates'!$D$37)</f>
        <v>3886.68</v>
      </c>
    </row>
    <row r="17" spans="1:14" s="301" customFormat="1" ht="15.75" customHeight="1">
      <c r="A17" s="367"/>
      <c r="B17" s="330"/>
      <c r="C17" s="333" t="s">
        <v>97</v>
      </c>
      <c r="D17" s="334" t="s">
        <v>178</v>
      </c>
      <c r="E17" s="318"/>
      <c r="F17" s="323">
        <f>'PVC YR 1'!I41</f>
        <v>15</v>
      </c>
      <c r="G17" s="332"/>
      <c r="H17" s="324">
        <v>10</v>
      </c>
      <c r="I17" s="328">
        <f>(F17*H17)</f>
        <v>150</v>
      </c>
      <c r="J17" s="328">
        <f>I17*0.05</f>
        <v>7.5</v>
      </c>
      <c r="K17" s="328">
        <f>I17*0.1</f>
        <v>15</v>
      </c>
      <c r="L17" s="366">
        <f>(I17*'Hourly Rates'!$D$35+J17*'Hourly Rates'!$D$36+K17*'Hourly Rates'!$D$37)</f>
        <v>7773.36</v>
      </c>
    </row>
    <row r="18" spans="1:14" s="301" customFormat="1" ht="15.75" customHeight="1">
      <c r="A18" s="367">
        <v>0.01</v>
      </c>
      <c r="B18" s="329"/>
      <c r="C18" s="335" t="s">
        <v>98</v>
      </c>
      <c r="D18" s="334" t="s">
        <v>173</v>
      </c>
      <c r="E18" s="326"/>
      <c r="F18" s="323">
        <f>'PVC YR 1'!I42</f>
        <v>15</v>
      </c>
      <c r="G18" s="320"/>
      <c r="H18" s="324">
        <v>40</v>
      </c>
      <c r="I18" s="328">
        <f>(F18*H18)</f>
        <v>600</v>
      </c>
      <c r="J18" s="328">
        <f>I18*0.05</f>
        <v>30</v>
      </c>
      <c r="K18" s="328">
        <f>I18*0.1</f>
        <v>60</v>
      </c>
      <c r="L18" s="366">
        <f>(I18*'Hourly Rates'!$D$35+J18*'Hourly Rates'!$D$36+K18*'Hourly Rates'!$D$37)</f>
        <v>31093.439999999999</v>
      </c>
    </row>
    <row r="19" spans="1:14" s="301" customFormat="1" ht="15.75" customHeight="1">
      <c r="A19" s="367"/>
      <c r="B19" s="329"/>
      <c r="C19" s="335" t="s">
        <v>212</v>
      </c>
      <c r="D19" s="334" t="s">
        <v>179</v>
      </c>
      <c r="E19" s="326"/>
      <c r="F19" s="323">
        <f>'PVC YR 1'!I43</f>
        <v>0</v>
      </c>
      <c r="G19" s="320"/>
      <c r="H19" s="324">
        <v>20</v>
      </c>
      <c r="I19" s="328">
        <f>(F19*H19)</f>
        <v>0</v>
      </c>
      <c r="J19" s="328">
        <f>I19*0.05</f>
        <v>0</v>
      </c>
      <c r="K19" s="328">
        <f>I19*0.1</f>
        <v>0</v>
      </c>
      <c r="L19" s="366">
        <f>(I19*'Hourly Rates'!$D$35+J19*'Hourly Rates'!$D$36+K19*'Hourly Rates'!$D$37)</f>
        <v>0</v>
      </c>
    </row>
    <row r="20" spans="1:14" s="301" customFormat="1" ht="15.75" customHeight="1">
      <c r="A20" s="367"/>
      <c r="B20" s="329"/>
      <c r="C20" s="333" t="s">
        <v>213</v>
      </c>
      <c r="D20" s="334" t="s">
        <v>215</v>
      </c>
      <c r="E20" s="326"/>
      <c r="F20" s="323">
        <f>'PVC YR 1'!I44</f>
        <v>15</v>
      </c>
      <c r="G20" s="320"/>
      <c r="H20" s="324">
        <v>3</v>
      </c>
      <c r="I20" s="328">
        <f t="shared" ref="I20:I21" si="0">(F20*H20)</f>
        <v>45</v>
      </c>
      <c r="J20" s="328">
        <f t="shared" ref="J20:J21" si="1">I20*0.05</f>
        <v>2.25</v>
      </c>
      <c r="K20" s="328">
        <f t="shared" ref="K20:K21" si="2">I20*0.1</f>
        <v>4.5</v>
      </c>
      <c r="L20" s="366">
        <f>(I20*'Hourly Rates'!$D$35+J20*'Hourly Rates'!$D$36+K20*'Hourly Rates'!$D$37)</f>
        <v>2332.0080000000003</v>
      </c>
    </row>
    <row r="21" spans="1:14" s="301" customFormat="1" ht="15.75" customHeight="1">
      <c r="A21" s="367"/>
      <c r="B21" s="329"/>
      <c r="C21" s="335" t="s">
        <v>214</v>
      </c>
      <c r="D21" s="334" t="s">
        <v>216</v>
      </c>
      <c r="E21" s="326"/>
      <c r="F21" s="323">
        <f>'PVC YR 1'!I45</f>
        <v>0</v>
      </c>
      <c r="G21" s="320"/>
      <c r="H21" s="324">
        <v>10</v>
      </c>
      <c r="I21" s="328">
        <f t="shared" si="0"/>
        <v>0</v>
      </c>
      <c r="J21" s="328">
        <f t="shared" si="1"/>
        <v>0</v>
      </c>
      <c r="K21" s="328">
        <f t="shared" si="2"/>
        <v>0</v>
      </c>
      <c r="L21" s="366">
        <f>(I21*'Hourly Rates'!$D$35+J21*'Hourly Rates'!$D$36+K21*'Hourly Rates'!$D$37)</f>
        <v>0</v>
      </c>
    </row>
    <row r="22" spans="1:14" s="315" customFormat="1" ht="15.75" customHeight="1">
      <c r="A22" s="336"/>
      <c r="B22" s="337" t="s">
        <v>33</v>
      </c>
      <c r="C22" s="338" t="s">
        <v>34</v>
      </c>
      <c r="D22" s="338"/>
      <c r="E22" s="339"/>
      <c r="F22" s="340">
        <v>1</v>
      </c>
      <c r="G22" s="341" t="s">
        <v>19</v>
      </c>
      <c r="H22" s="342">
        <v>32</v>
      </c>
      <c r="I22" s="342">
        <f>(F22*H22)</f>
        <v>32</v>
      </c>
      <c r="J22" s="343">
        <f>I22*0.05</f>
        <v>1.6</v>
      </c>
      <c r="K22" s="343">
        <f>I22*0.1</f>
        <v>3.2</v>
      </c>
      <c r="L22" s="344">
        <f>(I22*'Hourly Rates'!$D$35+J22*'Hourly Rates'!$D$36+K22*'Hourly Rates'!$D$37)</f>
        <v>1658.3167999999998</v>
      </c>
    </row>
    <row r="23" spans="1:14" s="301" customFormat="1" ht="15.75" customHeight="1">
      <c r="A23" s="345" t="s">
        <v>180</v>
      </c>
      <c r="B23" s="346" t="s">
        <v>35</v>
      </c>
      <c r="C23" s="347"/>
      <c r="D23" s="347"/>
      <c r="E23" s="347"/>
      <c r="F23" s="348"/>
      <c r="G23" s="349"/>
      <c r="H23" s="350"/>
      <c r="I23" s="350"/>
      <c r="J23" s="351">
        <f>IF(F10=0,"",1*3.75*75+600)</f>
        <v>881.25</v>
      </c>
      <c r="K23" s="352" t="s">
        <v>36</v>
      </c>
      <c r="L23" s="353">
        <f>IF(ISTEXT(J23),0,F10*J23)</f>
        <v>2467.5000000000005</v>
      </c>
    </row>
    <row r="24" spans="1:14" s="315" customFormat="1" ht="15.75" customHeight="1" thickBot="1">
      <c r="A24" s="354"/>
      <c r="B24" s="355" t="s">
        <v>65</v>
      </c>
      <c r="C24" s="356"/>
      <c r="D24" s="356"/>
      <c r="E24" s="357"/>
      <c r="F24" s="358"/>
      <c r="G24" s="359"/>
      <c r="H24" s="360"/>
      <c r="I24" s="361">
        <f>SUM(I8:I22)</f>
        <v>1279.8</v>
      </c>
      <c r="J24" s="361">
        <f>SUM(J8:J22)</f>
        <v>63.99</v>
      </c>
      <c r="K24" s="361">
        <f>SUM(K8:K22)</f>
        <v>127.98</v>
      </c>
      <c r="L24" s="362">
        <f>SUM(L8:L23)</f>
        <v>68789.807520000002</v>
      </c>
      <c r="M24" s="363"/>
    </row>
    <row r="25" spans="1:14" s="290" customFormat="1" ht="15.75" customHeight="1">
      <c r="A25" s="285"/>
      <c r="B25" s="285"/>
      <c r="C25" s="285"/>
      <c r="D25" s="285"/>
      <c r="E25" s="286"/>
      <c r="F25" s="286"/>
      <c r="G25" s="287"/>
      <c r="H25" s="287"/>
      <c r="I25" s="288"/>
      <c r="J25" s="288"/>
      <c r="K25" s="288"/>
      <c r="L25" s="288"/>
      <c r="M25" s="289"/>
      <c r="N25" s="287"/>
    </row>
    <row r="26" spans="1:14" s="290" customFormat="1" ht="15.75" customHeight="1">
      <c r="A26" s="285" t="s">
        <v>68</v>
      </c>
      <c r="B26" s="285"/>
      <c r="C26" s="285"/>
      <c r="D26" s="285"/>
      <c r="E26" s="291"/>
      <c r="F26" s="286"/>
      <c r="G26" s="287"/>
      <c r="H26" s="287"/>
      <c r="I26" s="288"/>
      <c r="J26" s="288"/>
      <c r="K26" s="288"/>
      <c r="L26" s="288"/>
      <c r="M26" s="289"/>
      <c r="N26" s="287"/>
    </row>
    <row r="27" spans="1:14" s="290" customFormat="1" ht="15.75" customHeight="1">
      <c r="A27" s="292" t="s">
        <v>56</v>
      </c>
      <c r="B27" s="285" t="s">
        <v>59</v>
      </c>
      <c r="C27" s="285"/>
      <c r="D27" s="285"/>
      <c r="E27" s="286"/>
      <c r="F27" s="293"/>
      <c r="G27" s="287"/>
      <c r="H27" s="287"/>
      <c r="I27" s="288"/>
      <c r="J27" s="288"/>
      <c r="K27" s="288" t="s">
        <v>23</v>
      </c>
      <c r="L27" s="288"/>
      <c r="M27" s="289"/>
      <c r="N27" s="287"/>
    </row>
    <row r="28" spans="1:14" s="290" customFormat="1" ht="15.75" customHeight="1">
      <c r="A28" s="292" t="s">
        <v>57</v>
      </c>
      <c r="B28" s="285" t="s">
        <v>314</v>
      </c>
      <c r="C28" s="285"/>
      <c r="D28" s="285"/>
      <c r="E28" s="286"/>
      <c r="F28" s="286"/>
      <c r="G28" s="287"/>
      <c r="H28" s="287"/>
      <c r="I28" s="288"/>
      <c r="J28" s="288"/>
      <c r="K28" s="288"/>
      <c r="L28" s="288"/>
      <c r="M28" s="289"/>
      <c r="N28" s="287"/>
    </row>
    <row r="29" spans="1:14" s="290" customFormat="1" ht="15.75" customHeight="1">
      <c r="A29" s="294" t="s">
        <v>19</v>
      </c>
      <c r="B29" s="290" t="s">
        <v>116</v>
      </c>
      <c r="C29" s="285"/>
      <c r="D29" s="285"/>
      <c r="E29" s="286"/>
      <c r="F29" s="286"/>
      <c r="G29" s="287"/>
      <c r="H29" s="287"/>
      <c r="I29" s="288"/>
      <c r="J29" s="288"/>
      <c r="K29" s="288"/>
      <c r="L29" s="288"/>
      <c r="M29" s="289"/>
      <c r="N29" s="287"/>
    </row>
    <row r="30" spans="1:14" s="290" customFormat="1" ht="15.75" customHeight="1">
      <c r="A30" s="294" t="s">
        <v>53</v>
      </c>
      <c r="B30" s="285" t="s">
        <v>315</v>
      </c>
      <c r="C30" s="285"/>
      <c r="D30" s="285"/>
      <c r="E30" s="286"/>
      <c r="F30" s="286"/>
      <c r="G30" s="287"/>
      <c r="H30" s="287"/>
      <c r="I30" s="288"/>
      <c r="J30" s="288"/>
      <c r="K30" s="288"/>
      <c r="L30" s="288"/>
      <c r="M30" s="289"/>
      <c r="N30" s="287"/>
    </row>
    <row r="34" spans="1:11">
      <c r="A34"/>
      <c r="B34"/>
      <c r="C34"/>
      <c r="D34"/>
      <c r="E34"/>
      <c r="F34"/>
    </row>
    <row r="35" spans="1:11">
      <c r="A35"/>
      <c r="B35"/>
      <c r="C35"/>
      <c r="D35"/>
      <c r="E35"/>
      <c r="F35"/>
      <c r="G35" s="290"/>
      <c r="H35" s="290"/>
      <c r="J35" s="217"/>
      <c r="K35" s="285"/>
    </row>
    <row r="36" spans="1:11">
      <c r="A36"/>
      <c r="B36"/>
      <c r="C36"/>
      <c r="D36"/>
      <c r="E36"/>
      <c r="F36"/>
      <c r="G36" s="290"/>
      <c r="H36" s="290"/>
      <c r="J36" s="285"/>
      <c r="K36" s="285"/>
    </row>
    <row r="37" spans="1:11">
      <c r="A37"/>
      <c r="B37"/>
      <c r="C37"/>
      <c r="D37"/>
      <c r="E37"/>
      <c r="F37"/>
      <c r="J37" s="285"/>
      <c r="K37" s="295"/>
    </row>
    <row r="38" spans="1:11">
      <c r="A38"/>
      <c r="B38"/>
      <c r="C38"/>
      <c r="D38"/>
      <c r="E38"/>
      <c r="F38"/>
      <c r="J38" s="285"/>
      <c r="K38" s="295"/>
    </row>
    <row r="39" spans="1:11">
      <c r="A39"/>
      <c r="B39"/>
      <c r="C39"/>
      <c r="D39"/>
      <c r="E39"/>
      <c r="F39"/>
      <c r="J39" s="285"/>
      <c r="K39" s="295"/>
    </row>
    <row r="40" spans="1:11">
      <c r="A40"/>
      <c r="B40"/>
      <c r="C40"/>
      <c r="D40"/>
      <c r="E40"/>
      <c r="F40"/>
      <c r="J40" s="285"/>
      <c r="K40" s="285"/>
    </row>
    <row r="41" spans="1:11">
      <c r="A41"/>
      <c r="B41"/>
      <c r="C41"/>
      <c r="D41"/>
      <c r="E41"/>
      <c r="F41"/>
    </row>
    <row r="42" spans="1:11">
      <c r="A42"/>
      <c r="B42"/>
      <c r="C42"/>
      <c r="D42"/>
      <c r="E42"/>
      <c r="F42"/>
    </row>
    <row r="43" spans="1:11">
      <c r="A43"/>
      <c r="B43"/>
      <c r="C43"/>
      <c r="D43"/>
      <c r="E43"/>
      <c r="F43"/>
    </row>
    <row r="44" spans="1:11">
      <c r="A44"/>
      <c r="B44"/>
      <c r="C44"/>
      <c r="D44"/>
      <c r="E44"/>
      <c r="F44"/>
    </row>
    <row r="45" spans="1:11">
      <c r="A45"/>
      <c r="B45"/>
      <c r="C45"/>
      <c r="D45"/>
      <c r="E45"/>
      <c r="F45"/>
    </row>
    <row r="46" spans="1:11">
      <c r="A46"/>
      <c r="B46"/>
      <c r="C46"/>
      <c r="D46"/>
      <c r="E46"/>
      <c r="F46"/>
    </row>
    <row r="47" spans="1:11">
      <c r="A47"/>
      <c r="B47"/>
      <c r="C47"/>
      <c r="D47"/>
      <c r="E47"/>
      <c r="F47"/>
    </row>
    <row r="48" spans="1:11">
      <c r="A48"/>
      <c r="B48"/>
      <c r="C48"/>
      <c r="D48"/>
      <c r="E48"/>
      <c r="F48"/>
    </row>
  </sheetData>
  <mergeCells count="8">
    <mergeCell ref="C10:E10"/>
    <mergeCell ref="F12:L12"/>
    <mergeCell ref="F13:L13"/>
    <mergeCell ref="A4:L4"/>
    <mergeCell ref="F5:G5"/>
    <mergeCell ref="F7:L7"/>
    <mergeCell ref="F6:G6"/>
    <mergeCell ref="A6:E6"/>
  </mergeCells>
  <phoneticPr fontId="0" type="noConversion"/>
  <printOptions horizontalCentered="1"/>
  <pageMargins left="0.75" right="0.75" top="1" bottom="1" header="0.25" footer="0.25"/>
  <pageSetup scale="88" orientation="landscape" horizontalDpi="300" verticalDpi="300" r:id="rId1"/>
  <headerFooter alignWithMargins="0"/>
  <ignoredErrors>
    <ignoredError sqref="A7:A9" numberStoredAsText="1"/>
    <ignoredError sqref="A11 F10" unlocked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N48"/>
  <sheetViews>
    <sheetView showGridLines="0" zoomScaleNormal="100" zoomScaleSheetLayoutView="100" workbookViewId="0">
      <selection activeCell="D1" sqref="D1:D2"/>
    </sheetView>
  </sheetViews>
  <sheetFormatPr defaultColWidth="9.1640625" defaultRowHeight="12.75"/>
  <cols>
    <col min="1" max="3" width="3.6640625" style="284" customWidth="1"/>
    <col min="4" max="4" width="36.1640625" style="284" customWidth="1"/>
    <col min="5" max="5" width="7.1640625" style="284" customWidth="1"/>
    <col min="6" max="6" width="12.83203125" style="284" customWidth="1"/>
    <col min="7" max="7" width="5" style="284" customWidth="1"/>
    <col min="8" max="8" width="13.6640625" style="284" customWidth="1"/>
    <col min="9" max="9" width="16.5" style="284" customWidth="1"/>
    <col min="10" max="10" width="17.1640625" style="284" customWidth="1"/>
    <col min="11" max="11" width="14.1640625" style="284" customWidth="1"/>
    <col min="12" max="12" width="15.6640625" style="284" customWidth="1"/>
    <col min="13" max="16384" width="9.1640625" style="284"/>
  </cols>
  <sheetData>
    <row r="1" spans="1:14" ht="14.25">
      <c r="D1" s="392"/>
    </row>
    <row r="2" spans="1:14" ht="14.25">
      <c r="D2" s="470"/>
    </row>
    <row r="3" spans="1:14" ht="14.25">
      <c r="D3" s="507"/>
    </row>
    <row r="4" spans="1:14" ht="42.75" customHeight="1" thickBot="1">
      <c r="A4" s="529" t="s">
        <v>408</v>
      </c>
      <c r="B4" s="529"/>
      <c r="C4" s="529"/>
      <c r="D4" s="529"/>
      <c r="E4" s="529"/>
      <c r="F4" s="529"/>
      <c r="G4" s="529"/>
      <c r="H4" s="529"/>
      <c r="I4" s="529"/>
      <c r="J4" s="529"/>
      <c r="K4" s="529"/>
      <c r="L4" s="529"/>
      <c r="M4" s="283"/>
      <c r="N4" s="283"/>
    </row>
    <row r="5" spans="1:14" s="301" customFormat="1" ht="15" customHeight="1">
      <c r="A5" s="296"/>
      <c r="B5" s="297"/>
      <c r="C5" s="297"/>
      <c r="D5" s="297"/>
      <c r="E5" s="297"/>
      <c r="F5" s="530" t="s">
        <v>37</v>
      </c>
      <c r="G5" s="531"/>
      <c r="H5" s="298" t="s">
        <v>0</v>
      </c>
      <c r="I5" s="299" t="s">
        <v>1</v>
      </c>
      <c r="J5" s="299" t="s">
        <v>2</v>
      </c>
      <c r="K5" s="299" t="s">
        <v>3</v>
      </c>
      <c r="L5" s="300" t="s">
        <v>4</v>
      </c>
    </row>
    <row r="6" spans="1:14" s="301" customFormat="1" ht="39.75" customHeight="1">
      <c r="A6" s="536" t="s">
        <v>13</v>
      </c>
      <c r="B6" s="537"/>
      <c r="C6" s="537"/>
      <c r="D6" s="537"/>
      <c r="E6" s="538"/>
      <c r="F6" s="534" t="s">
        <v>102</v>
      </c>
      <c r="G6" s="535"/>
      <c r="H6" s="302" t="s">
        <v>96</v>
      </c>
      <c r="I6" s="303" t="s">
        <v>99</v>
      </c>
      <c r="J6" s="303" t="s">
        <v>103</v>
      </c>
      <c r="K6" s="303" t="s">
        <v>100</v>
      </c>
      <c r="L6" s="304" t="s">
        <v>101</v>
      </c>
    </row>
    <row r="7" spans="1:14" s="301" customFormat="1" ht="15.75" customHeight="1">
      <c r="A7" s="364" t="s">
        <v>14</v>
      </c>
      <c r="B7" s="305" t="s">
        <v>15</v>
      </c>
      <c r="C7" s="306"/>
      <c r="D7" s="307"/>
      <c r="E7" s="308"/>
      <c r="F7" s="532" t="s">
        <v>16</v>
      </c>
      <c r="G7" s="532"/>
      <c r="H7" s="532"/>
      <c r="I7" s="532"/>
      <c r="J7" s="532"/>
      <c r="K7" s="532"/>
      <c r="L7" s="533"/>
    </row>
    <row r="8" spans="1:14" s="315" customFormat="1" ht="15.75" customHeight="1">
      <c r="A8" s="364" t="s">
        <v>17</v>
      </c>
      <c r="B8" s="305" t="s">
        <v>18</v>
      </c>
      <c r="C8" s="309"/>
      <c r="D8" s="310"/>
      <c r="E8" s="311"/>
      <c r="F8" s="312">
        <v>0</v>
      </c>
      <c r="G8" s="313"/>
      <c r="H8" s="314">
        <v>16</v>
      </c>
      <c r="I8" s="314">
        <f>(F8*H8)</f>
        <v>0</v>
      </c>
      <c r="J8" s="314">
        <f>I8*0.05</f>
        <v>0</v>
      </c>
      <c r="K8" s="314">
        <f>I8*0.1</f>
        <v>0</v>
      </c>
      <c r="L8" s="365">
        <f>(I8*'Hourly Rates'!$D$35+J8*'Hourly Rates'!$D$36+K8*'Hourly Rates'!$D$37)</f>
        <v>0</v>
      </c>
    </row>
    <row r="9" spans="1:14" s="315" customFormat="1" ht="15.75" customHeight="1">
      <c r="A9" s="364" t="s">
        <v>20</v>
      </c>
      <c r="B9" s="305" t="s">
        <v>21</v>
      </c>
      <c r="C9" s="316"/>
      <c r="D9" s="317"/>
      <c r="E9" s="318"/>
      <c r="F9" s="319"/>
      <c r="G9" s="320"/>
      <c r="H9" s="321"/>
      <c r="I9" s="321"/>
      <c r="J9" s="321"/>
      <c r="K9" s="321"/>
      <c r="L9" s="366"/>
    </row>
    <row r="10" spans="1:14" s="301" customFormat="1" ht="15.75" customHeight="1">
      <c r="A10" s="367">
        <v>0.08</v>
      </c>
      <c r="B10" s="322" t="s">
        <v>22</v>
      </c>
      <c r="C10" s="525" t="s">
        <v>176</v>
      </c>
      <c r="D10" s="526"/>
      <c r="E10" s="526"/>
      <c r="F10" s="323">
        <v>0</v>
      </c>
      <c r="G10" s="320" t="s">
        <v>57</v>
      </c>
      <c r="H10" s="324">
        <v>48</v>
      </c>
      <c r="I10" s="321">
        <f>(F10*H10)</f>
        <v>0</v>
      </c>
      <c r="J10" s="321">
        <f>I10*0.05</f>
        <v>0</v>
      </c>
      <c r="K10" s="321">
        <f>I10*0.1</f>
        <v>0</v>
      </c>
      <c r="L10" s="366">
        <f>(I10*'Hourly Rates'!$D$35+J10*'Hourly Rates'!$D$36+K10*'Hourly Rates'!$D$37)</f>
        <v>0</v>
      </c>
    </row>
    <row r="11" spans="1:14" s="301" customFormat="1" ht="15.75" customHeight="1">
      <c r="A11" s="367">
        <f>0.1*0.1</f>
        <v>1.0000000000000002E-2</v>
      </c>
      <c r="B11" s="325" t="s">
        <v>24</v>
      </c>
      <c r="C11" s="326" t="s">
        <v>25</v>
      </c>
      <c r="D11" s="317"/>
      <c r="E11" s="318"/>
      <c r="F11" s="327">
        <f>16*0.1</f>
        <v>1.6</v>
      </c>
      <c r="G11" s="324" t="s">
        <v>53</v>
      </c>
      <c r="H11" s="324">
        <v>24</v>
      </c>
      <c r="I11" s="328">
        <f>(F11*H11)</f>
        <v>38.400000000000006</v>
      </c>
      <c r="J11" s="328">
        <f>I11*0.05</f>
        <v>1.9200000000000004</v>
      </c>
      <c r="K11" s="328">
        <f>I11*0.1</f>
        <v>3.8400000000000007</v>
      </c>
      <c r="L11" s="366">
        <f>(I11*'Hourly Rates'!$D$35+J11*'Hourly Rates'!$D$36+K11*'Hourly Rates'!$D$37)</f>
        <v>1989.9801600000001</v>
      </c>
    </row>
    <row r="12" spans="1:14" s="301" customFormat="1" ht="15.75" customHeight="1">
      <c r="A12" s="367"/>
      <c r="B12" s="329" t="s">
        <v>26</v>
      </c>
      <c r="C12" s="326" t="s">
        <v>27</v>
      </c>
      <c r="D12" s="317"/>
      <c r="E12" s="318"/>
      <c r="F12" s="527" t="s">
        <v>16</v>
      </c>
      <c r="G12" s="527"/>
      <c r="H12" s="527"/>
      <c r="I12" s="527"/>
      <c r="J12" s="527"/>
      <c r="K12" s="527"/>
      <c r="L12" s="528"/>
    </row>
    <row r="13" spans="1:14" s="301" customFormat="1" ht="15.75" customHeight="1">
      <c r="A13" s="367"/>
      <c r="B13" s="329" t="s">
        <v>28</v>
      </c>
      <c r="C13" s="326" t="s">
        <v>29</v>
      </c>
      <c r="D13" s="317"/>
      <c r="E13" s="318"/>
      <c r="F13" s="527" t="s">
        <v>16</v>
      </c>
      <c r="G13" s="527"/>
      <c r="H13" s="527"/>
      <c r="I13" s="527"/>
      <c r="J13" s="527"/>
      <c r="K13" s="527"/>
      <c r="L13" s="528"/>
    </row>
    <row r="14" spans="1:14" s="301" customFormat="1" ht="15.75" customHeight="1">
      <c r="A14" s="367"/>
      <c r="B14" s="330" t="s">
        <v>30</v>
      </c>
      <c r="C14" s="326" t="s">
        <v>31</v>
      </c>
      <c r="D14" s="317"/>
      <c r="E14" s="318"/>
      <c r="F14" s="331"/>
      <c r="G14" s="332"/>
      <c r="H14" s="324"/>
      <c r="I14" s="328"/>
      <c r="J14" s="328"/>
      <c r="K14" s="328"/>
      <c r="L14" s="366"/>
    </row>
    <row r="15" spans="1:14" s="301" customFormat="1" ht="15.75" customHeight="1">
      <c r="A15" s="367"/>
      <c r="B15" s="330"/>
      <c r="C15" s="333" t="s">
        <v>117</v>
      </c>
      <c r="D15" s="334" t="s">
        <v>177</v>
      </c>
      <c r="E15" s="318"/>
      <c r="F15" s="323">
        <f>'PVC YR 2'!I39</f>
        <v>0</v>
      </c>
      <c r="G15" s="332"/>
      <c r="H15" s="324">
        <v>3</v>
      </c>
      <c r="I15" s="328">
        <f>(F15*H15)</f>
        <v>0</v>
      </c>
      <c r="J15" s="328">
        <f>I15*0.05</f>
        <v>0</v>
      </c>
      <c r="K15" s="328">
        <f>I15*0.1</f>
        <v>0</v>
      </c>
      <c r="L15" s="366">
        <f>(I15*'Hourly Rates'!$D$35+J15*'Hourly Rates'!$D$36+K15*'Hourly Rates'!$D$37)</f>
        <v>0</v>
      </c>
    </row>
    <row r="16" spans="1:14" s="301" customFormat="1" ht="15.75" customHeight="1">
      <c r="A16" s="367"/>
      <c r="B16" s="330"/>
      <c r="C16" s="333" t="s">
        <v>118</v>
      </c>
      <c r="D16" s="334" t="s">
        <v>211</v>
      </c>
      <c r="E16" s="318"/>
      <c r="F16" s="323">
        <f>'PVC YR 2'!I40</f>
        <v>0</v>
      </c>
      <c r="G16" s="332"/>
      <c r="H16" s="324">
        <v>5</v>
      </c>
      <c r="I16" s="328">
        <f>(F16*H16)</f>
        <v>0</v>
      </c>
      <c r="J16" s="328">
        <f>I16*0.05</f>
        <v>0</v>
      </c>
      <c r="K16" s="328">
        <f>I16*0.1</f>
        <v>0</v>
      </c>
      <c r="L16" s="366">
        <f>(I16*'Hourly Rates'!$D$35+J16*'Hourly Rates'!$D$36+K16*'Hourly Rates'!$D$37)</f>
        <v>0</v>
      </c>
    </row>
    <row r="17" spans="1:14" s="301" customFormat="1" ht="15.75" customHeight="1">
      <c r="A17" s="367"/>
      <c r="B17" s="330"/>
      <c r="C17" s="333" t="s">
        <v>97</v>
      </c>
      <c r="D17" s="334" t="s">
        <v>178</v>
      </c>
      <c r="E17" s="318"/>
      <c r="F17" s="323">
        <f>'PVC YR 2'!I41</f>
        <v>0</v>
      </c>
      <c r="G17" s="332"/>
      <c r="H17" s="324">
        <v>10</v>
      </c>
      <c r="I17" s="328">
        <f>(F17*H17)</f>
        <v>0</v>
      </c>
      <c r="J17" s="328">
        <f>I17*0.05</f>
        <v>0</v>
      </c>
      <c r="K17" s="328">
        <f>I17*0.1</f>
        <v>0</v>
      </c>
      <c r="L17" s="366">
        <f>(I17*'Hourly Rates'!$D$35+J17*'Hourly Rates'!$D$36+K17*'Hourly Rates'!$D$37)</f>
        <v>0</v>
      </c>
    </row>
    <row r="18" spans="1:14" s="301" customFormat="1" ht="15.75" customHeight="1">
      <c r="A18" s="367">
        <v>0.01</v>
      </c>
      <c r="B18" s="329"/>
      <c r="C18" s="335" t="s">
        <v>98</v>
      </c>
      <c r="D18" s="334" t="s">
        <v>173</v>
      </c>
      <c r="E18" s="326"/>
      <c r="F18" s="323">
        <f>'PVC YR 2'!I42</f>
        <v>0</v>
      </c>
      <c r="G18" s="320"/>
      <c r="H18" s="324">
        <v>40</v>
      </c>
      <c r="I18" s="328">
        <f>(F18*H18)</f>
        <v>0</v>
      </c>
      <c r="J18" s="328">
        <f>I18*0.05</f>
        <v>0</v>
      </c>
      <c r="K18" s="328">
        <f>I18*0.1</f>
        <v>0</v>
      </c>
      <c r="L18" s="366">
        <f>(I18*'Hourly Rates'!$D$35+J18*'Hourly Rates'!$D$36+K18*'Hourly Rates'!$D$37)</f>
        <v>0</v>
      </c>
    </row>
    <row r="19" spans="1:14" s="301" customFormat="1" ht="15.75" customHeight="1">
      <c r="A19" s="367"/>
      <c r="B19" s="329"/>
      <c r="C19" s="335" t="s">
        <v>212</v>
      </c>
      <c r="D19" s="334" t="s">
        <v>179</v>
      </c>
      <c r="E19" s="326"/>
      <c r="F19" s="323">
        <f>'PVC YR 2'!I43</f>
        <v>15</v>
      </c>
      <c r="G19" s="320"/>
      <c r="H19" s="324">
        <v>20</v>
      </c>
      <c r="I19" s="328">
        <f>(F19*H19)</f>
        <v>300</v>
      </c>
      <c r="J19" s="328">
        <f>I19*0.05</f>
        <v>15</v>
      </c>
      <c r="K19" s="328">
        <f>I19*0.1</f>
        <v>30</v>
      </c>
      <c r="L19" s="366">
        <f>(I19*'Hourly Rates'!$D$35+J19*'Hourly Rates'!$D$36+K19*'Hourly Rates'!$D$37)</f>
        <v>15546.72</v>
      </c>
    </row>
    <row r="20" spans="1:14" s="301" customFormat="1" ht="15.75" customHeight="1">
      <c r="A20" s="367"/>
      <c r="B20" s="329"/>
      <c r="C20" s="333" t="s">
        <v>213</v>
      </c>
      <c r="D20" s="334" t="s">
        <v>215</v>
      </c>
      <c r="E20" s="326"/>
      <c r="F20" s="323">
        <f>'PVC YR 2'!I44</f>
        <v>15</v>
      </c>
      <c r="G20" s="320"/>
      <c r="H20" s="324">
        <v>3</v>
      </c>
      <c r="I20" s="328">
        <f t="shared" ref="I20:I21" si="0">(F20*H20)</f>
        <v>45</v>
      </c>
      <c r="J20" s="328">
        <f t="shared" ref="J20:J21" si="1">I20*0.05</f>
        <v>2.25</v>
      </c>
      <c r="K20" s="328">
        <f t="shared" ref="K20:K21" si="2">I20*0.1</f>
        <v>4.5</v>
      </c>
      <c r="L20" s="366">
        <f>(I20*'Hourly Rates'!$D$35+J20*'Hourly Rates'!$D$36+K20*'Hourly Rates'!$D$37)</f>
        <v>2332.0080000000003</v>
      </c>
    </row>
    <row r="21" spans="1:14" s="301" customFormat="1" ht="15.75" customHeight="1">
      <c r="A21" s="367"/>
      <c r="B21" s="329"/>
      <c r="C21" s="335" t="s">
        <v>214</v>
      </c>
      <c r="D21" s="334" t="s">
        <v>216</v>
      </c>
      <c r="E21" s="326"/>
      <c r="F21" s="323">
        <f>'PVC YR 2'!I45</f>
        <v>0</v>
      </c>
      <c r="G21" s="320"/>
      <c r="H21" s="324">
        <v>10</v>
      </c>
      <c r="I21" s="328">
        <f t="shared" si="0"/>
        <v>0</v>
      </c>
      <c r="J21" s="328">
        <f t="shared" si="1"/>
        <v>0</v>
      </c>
      <c r="K21" s="328">
        <f t="shared" si="2"/>
        <v>0</v>
      </c>
      <c r="L21" s="366">
        <f>(I21*'Hourly Rates'!$D$35+J21*'Hourly Rates'!$D$36+K21*'Hourly Rates'!$D$37)</f>
        <v>0</v>
      </c>
    </row>
    <row r="22" spans="1:14" s="315" customFormat="1" ht="15.75" customHeight="1">
      <c r="A22" s="336"/>
      <c r="B22" s="337" t="s">
        <v>33</v>
      </c>
      <c r="C22" s="338" t="s">
        <v>34</v>
      </c>
      <c r="D22" s="338"/>
      <c r="E22" s="339"/>
      <c r="F22" s="340">
        <v>1</v>
      </c>
      <c r="G22" s="341" t="s">
        <v>19</v>
      </c>
      <c r="H22" s="342">
        <v>32</v>
      </c>
      <c r="I22" s="342">
        <f>(F22*H22)</f>
        <v>32</v>
      </c>
      <c r="J22" s="343">
        <f>I22*0.05</f>
        <v>1.6</v>
      </c>
      <c r="K22" s="343">
        <f>I22*0.1</f>
        <v>3.2</v>
      </c>
      <c r="L22" s="344">
        <f>(I22*'Hourly Rates'!$D$35+J22*'Hourly Rates'!$D$36+K22*'Hourly Rates'!$D$37)</f>
        <v>1658.3167999999998</v>
      </c>
    </row>
    <row r="23" spans="1:14" s="301" customFormat="1" ht="15.75" customHeight="1">
      <c r="A23" s="345" t="s">
        <v>180</v>
      </c>
      <c r="B23" s="346" t="s">
        <v>35</v>
      </c>
      <c r="C23" s="347"/>
      <c r="D23" s="347"/>
      <c r="E23" s="347"/>
      <c r="F23" s="348"/>
      <c r="G23" s="349"/>
      <c r="H23" s="350"/>
      <c r="I23" s="350"/>
      <c r="J23" s="351" t="s">
        <v>316</v>
      </c>
      <c r="K23" s="352" t="s">
        <v>36</v>
      </c>
      <c r="L23" s="353">
        <f>IF(ISTEXT(J23),0,F10*J23)</f>
        <v>0</v>
      </c>
    </row>
    <row r="24" spans="1:14" s="315" customFormat="1" ht="15.75" customHeight="1" thickBot="1">
      <c r="A24" s="354"/>
      <c r="B24" s="355" t="s">
        <v>65</v>
      </c>
      <c r="C24" s="356"/>
      <c r="D24" s="356"/>
      <c r="E24" s="357"/>
      <c r="F24" s="358"/>
      <c r="G24" s="359"/>
      <c r="H24" s="360"/>
      <c r="I24" s="361">
        <f>SUM(I8:I22)</f>
        <v>415.4</v>
      </c>
      <c r="J24" s="361">
        <f>SUM(J8:J22)</f>
        <v>20.770000000000003</v>
      </c>
      <c r="K24" s="361">
        <f>SUM(K8:K22)</f>
        <v>41.540000000000006</v>
      </c>
      <c r="L24" s="362">
        <f>SUM(L8:L23)</f>
        <v>21527.024960000002</v>
      </c>
      <c r="M24" s="363"/>
    </row>
    <row r="25" spans="1:14" s="290" customFormat="1" ht="15.75" customHeight="1">
      <c r="A25" s="285"/>
      <c r="B25" s="285"/>
      <c r="C25" s="285"/>
      <c r="D25" s="285"/>
      <c r="E25" s="286"/>
      <c r="F25" s="286"/>
      <c r="G25" s="287"/>
      <c r="H25" s="287"/>
      <c r="I25" s="288"/>
      <c r="J25" s="288"/>
      <c r="K25" s="288"/>
      <c r="L25" s="288"/>
      <c r="M25" s="289"/>
      <c r="N25" s="287"/>
    </row>
    <row r="26" spans="1:14" s="290" customFormat="1" ht="15.75" customHeight="1">
      <c r="A26" s="285" t="s">
        <v>68</v>
      </c>
      <c r="B26" s="285"/>
      <c r="C26" s="285"/>
      <c r="D26" s="285"/>
      <c r="E26" s="291"/>
      <c r="F26" s="286"/>
      <c r="G26" s="287"/>
      <c r="H26" s="287"/>
      <c r="I26" s="288"/>
      <c r="J26" s="288"/>
      <c r="K26" s="288"/>
      <c r="L26" s="288"/>
      <c r="M26" s="289"/>
      <c r="N26" s="287"/>
    </row>
    <row r="27" spans="1:14" s="290" customFormat="1" ht="15.75" customHeight="1">
      <c r="A27" s="292" t="s">
        <v>56</v>
      </c>
      <c r="B27" s="285" t="s">
        <v>59</v>
      </c>
      <c r="C27" s="285"/>
      <c r="D27" s="285"/>
      <c r="E27" s="286"/>
      <c r="F27" s="293"/>
      <c r="G27" s="287"/>
      <c r="H27" s="287"/>
      <c r="I27" s="288"/>
      <c r="J27" s="288"/>
      <c r="K27" s="288" t="s">
        <v>23</v>
      </c>
      <c r="L27" s="288"/>
      <c r="M27" s="289"/>
      <c r="N27" s="287"/>
    </row>
    <row r="28" spans="1:14" s="290" customFormat="1" ht="15.75" customHeight="1">
      <c r="A28" s="292" t="s">
        <v>57</v>
      </c>
      <c r="B28" s="285" t="s">
        <v>314</v>
      </c>
      <c r="C28" s="285"/>
      <c r="D28" s="285"/>
      <c r="E28" s="286"/>
      <c r="F28" s="286"/>
      <c r="G28" s="287"/>
      <c r="H28" s="287"/>
      <c r="I28" s="288"/>
      <c r="J28" s="288"/>
      <c r="K28" s="288"/>
      <c r="L28" s="288"/>
      <c r="M28" s="289"/>
      <c r="N28" s="287"/>
    </row>
    <row r="29" spans="1:14" s="290" customFormat="1" ht="15.75" customHeight="1">
      <c r="A29" s="294" t="s">
        <v>19</v>
      </c>
      <c r="B29" s="290" t="s">
        <v>116</v>
      </c>
      <c r="C29" s="285"/>
      <c r="D29" s="285"/>
      <c r="E29" s="286"/>
      <c r="F29" s="286"/>
      <c r="G29" s="287"/>
      <c r="H29" s="287"/>
      <c r="I29" s="288"/>
      <c r="J29" s="288"/>
      <c r="K29" s="288"/>
      <c r="L29" s="288"/>
      <c r="M29" s="289"/>
      <c r="N29" s="287"/>
    </row>
    <row r="30" spans="1:14" s="290" customFormat="1" ht="15.75" customHeight="1">
      <c r="A30" s="294" t="s">
        <v>53</v>
      </c>
      <c r="B30" s="285" t="s">
        <v>315</v>
      </c>
      <c r="C30" s="285"/>
      <c r="D30" s="285"/>
      <c r="E30" s="286"/>
      <c r="F30" s="286"/>
      <c r="G30" s="287"/>
      <c r="H30" s="287"/>
      <c r="I30" s="288"/>
      <c r="J30" s="288"/>
      <c r="K30" s="288"/>
      <c r="L30" s="288"/>
      <c r="M30" s="289"/>
      <c r="N30" s="287"/>
    </row>
    <row r="34" spans="1:11">
      <c r="A34"/>
      <c r="B34"/>
      <c r="C34"/>
      <c r="D34"/>
      <c r="E34"/>
      <c r="F34"/>
    </row>
    <row r="35" spans="1:11">
      <c r="A35"/>
      <c r="B35"/>
      <c r="C35"/>
      <c r="D35"/>
      <c r="E35"/>
      <c r="F35"/>
      <c r="G35" s="290"/>
      <c r="H35" s="290"/>
      <c r="J35" s="217"/>
      <c r="K35" s="285"/>
    </row>
    <row r="36" spans="1:11">
      <c r="A36"/>
      <c r="B36"/>
      <c r="C36"/>
      <c r="D36"/>
      <c r="E36"/>
      <c r="F36"/>
      <c r="G36" s="290"/>
      <c r="H36" s="290"/>
      <c r="J36" s="285"/>
      <c r="K36" s="285"/>
    </row>
    <row r="37" spans="1:11">
      <c r="A37"/>
      <c r="B37"/>
      <c r="C37"/>
      <c r="D37"/>
      <c r="E37"/>
      <c r="F37"/>
      <c r="J37" s="285"/>
      <c r="K37" s="295"/>
    </row>
    <row r="38" spans="1:11">
      <c r="A38"/>
      <c r="B38"/>
      <c r="C38"/>
      <c r="D38"/>
      <c r="E38"/>
      <c r="F38"/>
      <c r="J38" s="285"/>
      <c r="K38" s="295"/>
    </row>
    <row r="39" spans="1:11">
      <c r="A39"/>
      <c r="B39"/>
      <c r="C39"/>
      <c r="D39"/>
      <c r="E39"/>
      <c r="F39"/>
      <c r="J39" s="285"/>
      <c r="K39" s="295"/>
    </row>
    <row r="40" spans="1:11">
      <c r="A40"/>
      <c r="B40"/>
      <c r="C40"/>
      <c r="D40"/>
      <c r="E40"/>
      <c r="F40"/>
      <c r="J40" s="285"/>
      <c r="K40" s="285"/>
    </row>
    <row r="41" spans="1:11">
      <c r="A41"/>
      <c r="B41"/>
      <c r="C41"/>
      <c r="D41"/>
      <c r="E41"/>
      <c r="F41"/>
    </row>
    <row r="42" spans="1:11">
      <c r="A42"/>
      <c r="B42"/>
      <c r="C42"/>
      <c r="D42"/>
      <c r="E42"/>
      <c r="F42"/>
    </row>
    <row r="43" spans="1:11">
      <c r="A43"/>
      <c r="B43"/>
      <c r="C43"/>
      <c r="D43"/>
      <c r="E43"/>
      <c r="F43"/>
    </row>
    <row r="44" spans="1:11">
      <c r="A44"/>
      <c r="B44"/>
      <c r="C44"/>
      <c r="D44"/>
      <c r="E44"/>
      <c r="F44"/>
    </row>
    <row r="45" spans="1:11">
      <c r="A45"/>
      <c r="B45"/>
      <c r="C45"/>
      <c r="D45"/>
      <c r="E45"/>
      <c r="F45"/>
    </row>
    <row r="46" spans="1:11">
      <c r="A46"/>
      <c r="B46"/>
      <c r="C46"/>
      <c r="D46"/>
      <c r="E46"/>
      <c r="F46"/>
    </row>
    <row r="47" spans="1:11">
      <c r="A47"/>
      <c r="B47"/>
      <c r="C47"/>
      <c r="D47"/>
      <c r="E47"/>
      <c r="F47"/>
    </row>
    <row r="48" spans="1:11">
      <c r="A48"/>
      <c r="B48"/>
      <c r="C48"/>
      <c r="D48"/>
      <c r="E48"/>
      <c r="F48"/>
    </row>
  </sheetData>
  <mergeCells count="8">
    <mergeCell ref="F12:L12"/>
    <mergeCell ref="F13:L13"/>
    <mergeCell ref="A4:L4"/>
    <mergeCell ref="F5:G5"/>
    <mergeCell ref="A6:E6"/>
    <mergeCell ref="F6:G6"/>
    <mergeCell ref="F7:L7"/>
    <mergeCell ref="C10:E10"/>
  </mergeCells>
  <printOptions horizontalCentered="1"/>
  <pageMargins left="0.75" right="0.75" top="1" bottom="1" header="0.25" footer="0.25"/>
  <pageSetup scale="8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N48"/>
  <sheetViews>
    <sheetView showGridLines="0" zoomScaleNormal="100" zoomScaleSheetLayoutView="100" workbookViewId="0">
      <selection activeCell="D1" sqref="D1:D2"/>
    </sheetView>
  </sheetViews>
  <sheetFormatPr defaultColWidth="9.1640625" defaultRowHeight="12.75"/>
  <cols>
    <col min="1" max="3" width="3.6640625" style="284" customWidth="1"/>
    <col min="4" max="4" width="36.1640625" style="284" customWidth="1"/>
    <col min="5" max="5" width="7.1640625" style="284" customWidth="1"/>
    <col min="6" max="6" width="12.83203125" style="284" customWidth="1"/>
    <col min="7" max="7" width="5" style="284" customWidth="1"/>
    <col min="8" max="8" width="13.6640625" style="284" customWidth="1"/>
    <col min="9" max="9" width="16.5" style="284" customWidth="1"/>
    <col min="10" max="10" width="17.1640625" style="284" customWidth="1"/>
    <col min="11" max="11" width="14.1640625" style="284" customWidth="1"/>
    <col min="12" max="12" width="15.6640625" style="284" customWidth="1"/>
    <col min="13" max="16384" width="9.1640625" style="284"/>
  </cols>
  <sheetData>
    <row r="1" spans="1:14" ht="14.25">
      <c r="D1" s="392"/>
    </row>
    <row r="2" spans="1:14" ht="14.25">
      <c r="D2" s="470"/>
    </row>
    <row r="3" spans="1:14" ht="14.25">
      <c r="D3" s="507"/>
    </row>
    <row r="4" spans="1:14" ht="42.75" customHeight="1" thickBot="1">
      <c r="A4" s="529" t="s">
        <v>409</v>
      </c>
      <c r="B4" s="529"/>
      <c r="C4" s="529"/>
      <c r="D4" s="529"/>
      <c r="E4" s="529"/>
      <c r="F4" s="529"/>
      <c r="G4" s="529"/>
      <c r="H4" s="529"/>
      <c r="I4" s="529"/>
      <c r="J4" s="529"/>
      <c r="K4" s="529"/>
      <c r="L4" s="529"/>
      <c r="M4" s="283"/>
      <c r="N4" s="283"/>
    </row>
    <row r="5" spans="1:14" s="301" customFormat="1" ht="15" customHeight="1">
      <c r="A5" s="296"/>
      <c r="B5" s="297"/>
      <c r="C5" s="297"/>
      <c r="D5" s="297"/>
      <c r="E5" s="297"/>
      <c r="F5" s="530" t="s">
        <v>37</v>
      </c>
      <c r="G5" s="531"/>
      <c r="H5" s="298" t="s">
        <v>0</v>
      </c>
      <c r="I5" s="299" t="s">
        <v>1</v>
      </c>
      <c r="J5" s="299" t="s">
        <v>2</v>
      </c>
      <c r="K5" s="299" t="s">
        <v>3</v>
      </c>
      <c r="L5" s="300" t="s">
        <v>4</v>
      </c>
    </row>
    <row r="6" spans="1:14" s="301" customFormat="1" ht="39.75" customHeight="1">
      <c r="A6" s="536" t="s">
        <v>13</v>
      </c>
      <c r="B6" s="537"/>
      <c r="C6" s="537"/>
      <c r="D6" s="537"/>
      <c r="E6" s="538"/>
      <c r="F6" s="534" t="s">
        <v>102</v>
      </c>
      <c r="G6" s="535"/>
      <c r="H6" s="302" t="s">
        <v>96</v>
      </c>
      <c r="I6" s="303" t="s">
        <v>99</v>
      </c>
      <c r="J6" s="303" t="s">
        <v>103</v>
      </c>
      <c r="K6" s="303" t="s">
        <v>100</v>
      </c>
      <c r="L6" s="304" t="s">
        <v>101</v>
      </c>
    </row>
    <row r="7" spans="1:14" s="301" customFormat="1" ht="15.75" customHeight="1">
      <c r="A7" s="364" t="s">
        <v>14</v>
      </c>
      <c r="B7" s="305" t="s">
        <v>15</v>
      </c>
      <c r="C7" s="306"/>
      <c r="D7" s="307"/>
      <c r="E7" s="308"/>
      <c r="F7" s="532" t="s">
        <v>16</v>
      </c>
      <c r="G7" s="532"/>
      <c r="H7" s="532"/>
      <c r="I7" s="532"/>
      <c r="J7" s="532"/>
      <c r="K7" s="532"/>
      <c r="L7" s="533"/>
    </row>
    <row r="8" spans="1:14" s="315" customFormat="1" ht="15.75" customHeight="1">
      <c r="A8" s="364" t="s">
        <v>17</v>
      </c>
      <c r="B8" s="305" t="s">
        <v>18</v>
      </c>
      <c r="C8" s="309"/>
      <c r="D8" s="310"/>
      <c r="E8" s="311"/>
      <c r="F8" s="312">
        <v>0</v>
      </c>
      <c r="G8" s="313"/>
      <c r="H8" s="314">
        <v>16</v>
      </c>
      <c r="I8" s="314">
        <f>(F8*H8)</f>
        <v>0</v>
      </c>
      <c r="J8" s="314">
        <f>I8*0.05</f>
        <v>0</v>
      </c>
      <c r="K8" s="314">
        <f>I8*0.1</f>
        <v>0</v>
      </c>
      <c r="L8" s="365">
        <f>(I8*'Hourly Rates'!$D$35+J8*'Hourly Rates'!$D$36+K8*'Hourly Rates'!$D$37)</f>
        <v>0</v>
      </c>
    </row>
    <row r="9" spans="1:14" s="315" customFormat="1" ht="15.75" customHeight="1">
      <c r="A9" s="364" t="s">
        <v>20</v>
      </c>
      <c r="B9" s="305" t="s">
        <v>21</v>
      </c>
      <c r="C9" s="316"/>
      <c r="D9" s="317"/>
      <c r="E9" s="318"/>
      <c r="F9" s="319"/>
      <c r="G9" s="320"/>
      <c r="H9" s="321"/>
      <c r="I9" s="321"/>
      <c r="J9" s="321"/>
      <c r="K9" s="321"/>
      <c r="L9" s="366"/>
    </row>
    <row r="10" spans="1:14" s="301" customFormat="1" ht="15.75" customHeight="1">
      <c r="A10" s="367">
        <v>0.08</v>
      </c>
      <c r="B10" s="322" t="s">
        <v>22</v>
      </c>
      <c r="C10" s="525" t="s">
        <v>176</v>
      </c>
      <c r="D10" s="526"/>
      <c r="E10" s="526"/>
      <c r="F10" s="323">
        <v>0</v>
      </c>
      <c r="G10" s="320" t="s">
        <v>57</v>
      </c>
      <c r="H10" s="324">
        <v>48</v>
      </c>
      <c r="I10" s="321">
        <f>(F10*H10)</f>
        <v>0</v>
      </c>
      <c r="J10" s="321">
        <f>I10*0.05</f>
        <v>0</v>
      </c>
      <c r="K10" s="321">
        <f>I10*0.1</f>
        <v>0</v>
      </c>
      <c r="L10" s="366">
        <f>(I10*'Hourly Rates'!$D$35+J10*'Hourly Rates'!$D$36+K10*'Hourly Rates'!$D$37)</f>
        <v>0</v>
      </c>
    </row>
    <row r="11" spans="1:14" s="301" customFormat="1" ht="15.75" customHeight="1">
      <c r="A11" s="367">
        <f>0.1*0.1</f>
        <v>1.0000000000000002E-2</v>
      </c>
      <c r="B11" s="325" t="s">
        <v>24</v>
      </c>
      <c r="C11" s="326" t="s">
        <v>25</v>
      </c>
      <c r="D11" s="317"/>
      <c r="E11" s="318"/>
      <c r="F11" s="327">
        <f>16*0.1</f>
        <v>1.6</v>
      </c>
      <c r="G11" s="324" t="s">
        <v>53</v>
      </c>
      <c r="H11" s="324">
        <v>24</v>
      </c>
      <c r="I11" s="328">
        <f>(F11*H11)</f>
        <v>38.400000000000006</v>
      </c>
      <c r="J11" s="328">
        <f>I11*0.05</f>
        <v>1.9200000000000004</v>
      </c>
      <c r="K11" s="328">
        <f>I11*0.1</f>
        <v>3.8400000000000007</v>
      </c>
      <c r="L11" s="366">
        <f>(I11*'Hourly Rates'!$D$35+J11*'Hourly Rates'!$D$36+K11*'Hourly Rates'!$D$37)</f>
        <v>1989.9801600000001</v>
      </c>
    </row>
    <row r="12" spans="1:14" s="301" customFormat="1" ht="15.75" customHeight="1">
      <c r="A12" s="367"/>
      <c r="B12" s="329" t="s">
        <v>26</v>
      </c>
      <c r="C12" s="326" t="s">
        <v>27</v>
      </c>
      <c r="D12" s="317"/>
      <c r="E12" s="318"/>
      <c r="F12" s="527" t="s">
        <v>16</v>
      </c>
      <c r="G12" s="527"/>
      <c r="H12" s="527"/>
      <c r="I12" s="527"/>
      <c r="J12" s="527"/>
      <c r="K12" s="527"/>
      <c r="L12" s="528"/>
    </row>
    <row r="13" spans="1:14" s="301" customFormat="1" ht="15.75" customHeight="1">
      <c r="A13" s="367"/>
      <c r="B13" s="329" t="s">
        <v>28</v>
      </c>
      <c r="C13" s="326" t="s">
        <v>29</v>
      </c>
      <c r="D13" s="317"/>
      <c r="E13" s="318"/>
      <c r="F13" s="527" t="s">
        <v>16</v>
      </c>
      <c r="G13" s="527"/>
      <c r="H13" s="527"/>
      <c r="I13" s="527"/>
      <c r="J13" s="527"/>
      <c r="K13" s="527"/>
      <c r="L13" s="528"/>
    </row>
    <row r="14" spans="1:14" s="301" customFormat="1" ht="15.75" customHeight="1">
      <c r="A14" s="367"/>
      <c r="B14" s="330" t="s">
        <v>30</v>
      </c>
      <c r="C14" s="326" t="s">
        <v>31</v>
      </c>
      <c r="D14" s="317"/>
      <c r="E14" s="318"/>
      <c r="F14" s="331"/>
      <c r="G14" s="332"/>
      <c r="H14" s="324"/>
      <c r="I14" s="328"/>
      <c r="J14" s="328"/>
      <c r="K14" s="328"/>
      <c r="L14" s="366"/>
    </row>
    <row r="15" spans="1:14" s="301" customFormat="1" ht="15.75" customHeight="1">
      <c r="A15" s="367"/>
      <c r="B15" s="330"/>
      <c r="C15" s="333" t="s">
        <v>117</v>
      </c>
      <c r="D15" s="334" t="s">
        <v>177</v>
      </c>
      <c r="E15" s="318"/>
      <c r="F15" s="323">
        <f>'PVC YR 2'!I39</f>
        <v>0</v>
      </c>
      <c r="G15" s="332"/>
      <c r="H15" s="324">
        <v>3</v>
      </c>
      <c r="I15" s="328">
        <f>(F15*H15)</f>
        <v>0</v>
      </c>
      <c r="J15" s="328">
        <f>I15*0.05</f>
        <v>0</v>
      </c>
      <c r="K15" s="328">
        <f>I15*0.1</f>
        <v>0</v>
      </c>
      <c r="L15" s="366">
        <f>(I15*'Hourly Rates'!$D$35+J15*'Hourly Rates'!$D$36+K15*'Hourly Rates'!$D$37)</f>
        <v>0</v>
      </c>
    </row>
    <row r="16" spans="1:14" s="301" customFormat="1" ht="15.75" customHeight="1">
      <c r="A16" s="367"/>
      <c r="B16" s="330"/>
      <c r="C16" s="333" t="s">
        <v>118</v>
      </c>
      <c r="D16" s="334" t="s">
        <v>211</v>
      </c>
      <c r="E16" s="318"/>
      <c r="F16" s="323">
        <f>'PVC YR 2'!I40</f>
        <v>0</v>
      </c>
      <c r="G16" s="332"/>
      <c r="H16" s="324">
        <v>5</v>
      </c>
      <c r="I16" s="328">
        <f>(F16*H16)</f>
        <v>0</v>
      </c>
      <c r="J16" s="328">
        <f>I16*0.05</f>
        <v>0</v>
      </c>
      <c r="K16" s="328">
        <f>I16*0.1</f>
        <v>0</v>
      </c>
      <c r="L16" s="366">
        <f>(I16*'Hourly Rates'!$D$35+J16*'Hourly Rates'!$D$36+K16*'Hourly Rates'!$D$37)</f>
        <v>0</v>
      </c>
    </row>
    <row r="17" spans="1:14" s="301" customFormat="1" ht="15.75" customHeight="1">
      <c r="A17" s="367"/>
      <c r="B17" s="330"/>
      <c r="C17" s="333" t="s">
        <v>97</v>
      </c>
      <c r="D17" s="334" t="s">
        <v>178</v>
      </c>
      <c r="E17" s="318"/>
      <c r="F17" s="323">
        <f>'PVC YR 2'!I41</f>
        <v>0</v>
      </c>
      <c r="G17" s="332"/>
      <c r="H17" s="324">
        <v>10</v>
      </c>
      <c r="I17" s="328">
        <f>(F17*H17)</f>
        <v>0</v>
      </c>
      <c r="J17" s="328">
        <f>I17*0.05</f>
        <v>0</v>
      </c>
      <c r="K17" s="328">
        <f>I17*0.1</f>
        <v>0</v>
      </c>
      <c r="L17" s="366">
        <f>(I17*'Hourly Rates'!$D$35+J17*'Hourly Rates'!$D$36+K17*'Hourly Rates'!$D$37)</f>
        <v>0</v>
      </c>
    </row>
    <row r="18" spans="1:14" s="301" customFormat="1" ht="15.75" customHeight="1">
      <c r="A18" s="367">
        <v>0.01</v>
      </c>
      <c r="B18" s="329"/>
      <c r="C18" s="335" t="s">
        <v>98</v>
      </c>
      <c r="D18" s="334" t="s">
        <v>173</v>
      </c>
      <c r="E18" s="326"/>
      <c r="F18" s="323">
        <f>'PVC YR 2'!I42</f>
        <v>0</v>
      </c>
      <c r="G18" s="320"/>
      <c r="H18" s="324">
        <v>40</v>
      </c>
      <c r="I18" s="328">
        <f>(F18*H18)</f>
        <v>0</v>
      </c>
      <c r="J18" s="328">
        <f>I18*0.05</f>
        <v>0</v>
      </c>
      <c r="K18" s="328">
        <f>I18*0.1</f>
        <v>0</v>
      </c>
      <c r="L18" s="366">
        <f>(I18*'Hourly Rates'!$D$35+J18*'Hourly Rates'!$D$36+K18*'Hourly Rates'!$D$37)</f>
        <v>0</v>
      </c>
    </row>
    <row r="19" spans="1:14" s="301" customFormat="1" ht="15.75" customHeight="1">
      <c r="A19" s="367"/>
      <c r="B19" s="329"/>
      <c r="C19" s="335" t="s">
        <v>212</v>
      </c>
      <c r="D19" s="334" t="s">
        <v>179</v>
      </c>
      <c r="E19" s="326"/>
      <c r="F19" s="323">
        <f>'PVC YR 2'!I43</f>
        <v>15</v>
      </c>
      <c r="G19" s="320"/>
      <c r="H19" s="324">
        <v>20</v>
      </c>
      <c r="I19" s="328">
        <f>(F19*H19)</f>
        <v>300</v>
      </c>
      <c r="J19" s="328">
        <f>I19*0.05</f>
        <v>15</v>
      </c>
      <c r="K19" s="328">
        <f>I19*0.1</f>
        <v>30</v>
      </c>
      <c r="L19" s="366">
        <f>(I19*'Hourly Rates'!$D$35+J19*'Hourly Rates'!$D$36+K19*'Hourly Rates'!$D$37)</f>
        <v>15546.72</v>
      </c>
    </row>
    <row r="20" spans="1:14" s="301" customFormat="1" ht="15.75" customHeight="1">
      <c r="A20" s="367"/>
      <c r="B20" s="329"/>
      <c r="C20" s="333" t="s">
        <v>213</v>
      </c>
      <c r="D20" s="334" t="s">
        <v>215</v>
      </c>
      <c r="E20" s="326"/>
      <c r="F20" s="323">
        <f>'PVC YR 2'!I44</f>
        <v>15</v>
      </c>
      <c r="G20" s="320"/>
      <c r="H20" s="324">
        <v>3</v>
      </c>
      <c r="I20" s="328">
        <f t="shared" ref="I20:I21" si="0">(F20*H20)</f>
        <v>45</v>
      </c>
      <c r="J20" s="328">
        <f t="shared" ref="J20:J21" si="1">I20*0.05</f>
        <v>2.25</v>
      </c>
      <c r="K20" s="328">
        <f t="shared" ref="K20:K21" si="2">I20*0.1</f>
        <v>4.5</v>
      </c>
      <c r="L20" s="366">
        <f>(I20*'Hourly Rates'!$D$35+J20*'Hourly Rates'!$D$36+K20*'Hourly Rates'!$D$37)</f>
        <v>2332.0080000000003</v>
      </c>
    </row>
    <row r="21" spans="1:14" s="301" customFormat="1" ht="15.75" customHeight="1">
      <c r="A21" s="367"/>
      <c r="B21" s="329"/>
      <c r="C21" s="335" t="s">
        <v>214</v>
      </c>
      <c r="D21" s="334" t="s">
        <v>216</v>
      </c>
      <c r="E21" s="326"/>
      <c r="F21" s="323">
        <f>'PVC YR 2'!I45</f>
        <v>0</v>
      </c>
      <c r="G21" s="320"/>
      <c r="H21" s="324">
        <v>10</v>
      </c>
      <c r="I21" s="328">
        <f t="shared" si="0"/>
        <v>0</v>
      </c>
      <c r="J21" s="328">
        <f t="shared" si="1"/>
        <v>0</v>
      </c>
      <c r="K21" s="328">
        <f t="shared" si="2"/>
        <v>0</v>
      </c>
      <c r="L21" s="366">
        <f>(I21*'Hourly Rates'!$D$35+J21*'Hourly Rates'!$D$36+K21*'Hourly Rates'!$D$37)</f>
        <v>0</v>
      </c>
    </row>
    <row r="22" spans="1:14" s="315" customFormat="1" ht="15.75" customHeight="1">
      <c r="A22" s="336"/>
      <c r="B22" s="337" t="s">
        <v>33</v>
      </c>
      <c r="C22" s="338" t="s">
        <v>34</v>
      </c>
      <c r="D22" s="338"/>
      <c r="E22" s="339"/>
      <c r="F22" s="340">
        <v>1</v>
      </c>
      <c r="G22" s="341" t="s">
        <v>19</v>
      </c>
      <c r="H22" s="342">
        <v>32</v>
      </c>
      <c r="I22" s="342">
        <f>(F22*H22)</f>
        <v>32</v>
      </c>
      <c r="J22" s="343">
        <f>I22*0.05</f>
        <v>1.6</v>
      </c>
      <c r="K22" s="343">
        <f>I22*0.1</f>
        <v>3.2</v>
      </c>
      <c r="L22" s="344">
        <f>(I22*'Hourly Rates'!$D$35+J22*'Hourly Rates'!$D$36+K22*'Hourly Rates'!$D$37)</f>
        <v>1658.3167999999998</v>
      </c>
    </row>
    <row r="23" spans="1:14" s="301" customFormat="1" ht="15.75" customHeight="1">
      <c r="A23" s="345" t="s">
        <v>180</v>
      </c>
      <c r="B23" s="346" t="s">
        <v>35</v>
      </c>
      <c r="C23" s="347"/>
      <c r="D23" s="347"/>
      <c r="E23" s="347"/>
      <c r="F23" s="348"/>
      <c r="G23" s="349"/>
      <c r="H23" s="350"/>
      <c r="I23" s="350"/>
      <c r="J23" s="351" t="s">
        <v>316</v>
      </c>
      <c r="K23" s="352" t="s">
        <v>36</v>
      </c>
      <c r="L23" s="353">
        <f>IF(ISTEXT(J23),0,F10*J23)</f>
        <v>0</v>
      </c>
    </row>
    <row r="24" spans="1:14" s="315" customFormat="1" ht="15.75" customHeight="1" thickBot="1">
      <c r="A24" s="354"/>
      <c r="B24" s="355" t="s">
        <v>65</v>
      </c>
      <c r="C24" s="356"/>
      <c r="D24" s="356"/>
      <c r="E24" s="357"/>
      <c r="F24" s="358"/>
      <c r="G24" s="359"/>
      <c r="H24" s="360"/>
      <c r="I24" s="361">
        <f>SUM(I8:I22)</f>
        <v>415.4</v>
      </c>
      <c r="J24" s="361">
        <f>SUM(J8:J22)</f>
        <v>20.770000000000003</v>
      </c>
      <c r="K24" s="361">
        <f>SUM(K8:K22)</f>
        <v>41.540000000000006</v>
      </c>
      <c r="L24" s="362">
        <f>SUM(L8:L23)</f>
        <v>21527.024960000002</v>
      </c>
      <c r="M24" s="363"/>
    </row>
    <row r="25" spans="1:14" s="290" customFormat="1" ht="15.75" customHeight="1">
      <c r="A25" s="285"/>
      <c r="B25" s="285"/>
      <c r="C25" s="285"/>
      <c r="D25" s="285"/>
      <c r="E25" s="286"/>
      <c r="F25" s="286"/>
      <c r="G25" s="287"/>
      <c r="H25" s="287"/>
      <c r="I25" s="288"/>
      <c r="J25" s="288"/>
      <c r="K25" s="288"/>
      <c r="L25" s="288"/>
      <c r="M25" s="289"/>
      <c r="N25" s="287"/>
    </row>
    <row r="26" spans="1:14" s="290" customFormat="1" ht="15.75" customHeight="1">
      <c r="A26" s="285" t="s">
        <v>68</v>
      </c>
      <c r="B26" s="285"/>
      <c r="C26" s="285"/>
      <c r="D26" s="285"/>
      <c r="E26" s="291"/>
      <c r="F26" s="286"/>
      <c r="G26" s="287"/>
      <c r="H26" s="287"/>
      <c r="I26" s="288"/>
      <c r="J26" s="288"/>
      <c r="K26" s="288"/>
      <c r="L26" s="288"/>
      <c r="M26" s="289"/>
      <c r="N26" s="287"/>
    </row>
    <row r="27" spans="1:14" s="290" customFormat="1" ht="15.75" customHeight="1">
      <c r="A27" s="292" t="s">
        <v>56</v>
      </c>
      <c r="B27" s="285" t="s">
        <v>59</v>
      </c>
      <c r="C27" s="285"/>
      <c r="D27" s="285"/>
      <c r="E27" s="286"/>
      <c r="F27" s="293"/>
      <c r="G27" s="287"/>
      <c r="H27" s="287"/>
      <c r="I27" s="288"/>
      <c r="J27" s="288"/>
      <c r="K27" s="288" t="s">
        <v>23</v>
      </c>
      <c r="L27" s="288"/>
      <c r="M27" s="289"/>
      <c r="N27" s="287"/>
    </row>
    <row r="28" spans="1:14" s="290" customFormat="1" ht="15.75" customHeight="1">
      <c r="A28" s="292" t="s">
        <v>57</v>
      </c>
      <c r="B28" s="285" t="s">
        <v>314</v>
      </c>
      <c r="C28" s="285"/>
      <c r="D28" s="285"/>
      <c r="E28" s="286"/>
      <c r="F28" s="286"/>
      <c r="G28" s="287"/>
      <c r="H28" s="287"/>
      <c r="I28" s="288"/>
      <c r="J28" s="288"/>
      <c r="K28" s="288"/>
      <c r="L28" s="288"/>
      <c r="M28" s="289"/>
      <c r="N28" s="287"/>
    </row>
    <row r="29" spans="1:14" s="290" customFormat="1" ht="15.75" customHeight="1">
      <c r="A29" s="294" t="s">
        <v>19</v>
      </c>
      <c r="B29" s="290" t="s">
        <v>116</v>
      </c>
      <c r="C29" s="285"/>
      <c r="D29" s="285"/>
      <c r="E29" s="286"/>
      <c r="F29" s="286"/>
      <c r="G29" s="287"/>
      <c r="H29" s="287"/>
      <c r="I29" s="288"/>
      <c r="J29" s="288"/>
      <c r="K29" s="288"/>
      <c r="L29" s="288"/>
      <c r="M29" s="289"/>
      <c r="N29" s="287"/>
    </row>
    <row r="30" spans="1:14" s="290" customFormat="1" ht="15.75" customHeight="1">
      <c r="A30" s="294" t="s">
        <v>53</v>
      </c>
      <c r="B30" s="285" t="s">
        <v>315</v>
      </c>
      <c r="C30" s="285"/>
      <c r="D30" s="285"/>
      <c r="E30" s="286"/>
      <c r="F30" s="286"/>
      <c r="G30" s="287"/>
      <c r="H30" s="287"/>
      <c r="I30" s="288"/>
      <c r="J30" s="288"/>
      <c r="K30" s="288"/>
      <c r="L30" s="288"/>
      <c r="M30" s="289"/>
      <c r="N30" s="287"/>
    </row>
    <row r="34" spans="1:11">
      <c r="A34"/>
      <c r="B34"/>
      <c r="C34"/>
      <c r="D34"/>
      <c r="E34"/>
      <c r="F34"/>
    </row>
    <row r="35" spans="1:11">
      <c r="A35"/>
      <c r="B35"/>
      <c r="C35"/>
      <c r="D35"/>
      <c r="E35"/>
      <c r="F35"/>
      <c r="G35" s="290"/>
      <c r="H35" s="290"/>
      <c r="J35" s="217"/>
      <c r="K35" s="285"/>
    </row>
    <row r="36" spans="1:11">
      <c r="A36"/>
      <c r="B36"/>
      <c r="C36"/>
      <c r="D36"/>
      <c r="E36"/>
      <c r="F36"/>
      <c r="G36" s="290"/>
      <c r="H36" s="290"/>
      <c r="J36" s="285"/>
      <c r="K36" s="285"/>
    </row>
    <row r="37" spans="1:11">
      <c r="A37"/>
      <c r="B37"/>
      <c r="C37"/>
      <c r="D37"/>
      <c r="E37"/>
      <c r="F37"/>
      <c r="J37" s="285"/>
      <c r="K37" s="295"/>
    </row>
    <row r="38" spans="1:11">
      <c r="A38"/>
      <c r="B38"/>
      <c r="C38"/>
      <c r="D38"/>
      <c r="E38"/>
      <c r="F38"/>
      <c r="J38" s="285"/>
      <c r="K38" s="295"/>
    </row>
    <row r="39" spans="1:11">
      <c r="A39"/>
      <c r="B39"/>
      <c r="C39"/>
      <c r="D39"/>
      <c r="E39"/>
      <c r="F39"/>
      <c r="J39" s="285"/>
      <c r="K39" s="295"/>
    </row>
    <row r="40" spans="1:11">
      <c r="A40"/>
      <c r="B40"/>
      <c r="C40"/>
      <c r="D40"/>
      <c r="E40"/>
      <c r="F40"/>
      <c r="J40" s="285"/>
      <c r="K40" s="285"/>
    </row>
    <row r="41" spans="1:11">
      <c r="A41"/>
      <c r="B41"/>
      <c r="C41"/>
      <c r="D41"/>
      <c r="E41"/>
      <c r="F41"/>
    </row>
    <row r="42" spans="1:11">
      <c r="A42"/>
      <c r="B42"/>
      <c r="C42"/>
      <c r="D42"/>
      <c r="E42"/>
      <c r="F42"/>
    </row>
    <row r="43" spans="1:11">
      <c r="A43"/>
      <c r="B43"/>
      <c r="C43"/>
      <c r="D43"/>
      <c r="E43"/>
      <c r="F43"/>
    </row>
    <row r="44" spans="1:11">
      <c r="A44"/>
      <c r="B44"/>
      <c r="C44"/>
      <c r="D44"/>
      <c r="E44"/>
      <c r="F44"/>
    </row>
    <row r="45" spans="1:11">
      <c r="A45"/>
      <c r="B45"/>
      <c r="C45"/>
      <c r="D45"/>
      <c r="E45"/>
      <c r="F45"/>
    </row>
    <row r="46" spans="1:11">
      <c r="A46"/>
      <c r="B46"/>
      <c r="C46"/>
      <c r="D46"/>
      <c r="E46"/>
      <c r="F46"/>
    </row>
    <row r="47" spans="1:11">
      <c r="A47"/>
      <c r="B47"/>
      <c r="C47"/>
      <c r="D47"/>
      <c r="E47"/>
      <c r="F47"/>
    </row>
    <row r="48" spans="1:11">
      <c r="A48"/>
      <c r="B48"/>
      <c r="C48"/>
      <c r="D48"/>
      <c r="E48"/>
      <c r="F48"/>
    </row>
  </sheetData>
  <mergeCells count="8">
    <mergeCell ref="F12:L12"/>
    <mergeCell ref="F13:L13"/>
    <mergeCell ref="A4:L4"/>
    <mergeCell ref="F5:G5"/>
    <mergeCell ref="A6:E6"/>
    <mergeCell ref="F6:G6"/>
    <mergeCell ref="F7:L7"/>
    <mergeCell ref="C10:E10"/>
  </mergeCells>
  <printOptions horizontalCentered="1"/>
  <pageMargins left="0.75" right="0.75" top="1" bottom="1" header="0.25" footer="0.25"/>
  <pageSetup scale="8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codeName="Sheet20">
    <pageSetUpPr fitToPage="1"/>
  </sheetPr>
  <dimension ref="A1:J19"/>
  <sheetViews>
    <sheetView zoomScaleNormal="100" zoomScaleSheetLayoutView="100" workbookViewId="0">
      <selection activeCell="B1" sqref="B1:B2"/>
    </sheetView>
  </sheetViews>
  <sheetFormatPr defaultRowHeight="11.25"/>
  <cols>
    <col min="1" max="1" width="14.5" style="290" customWidth="1"/>
    <col min="2" max="2" width="24.1640625" style="290" customWidth="1"/>
    <col min="3" max="3" width="20.5" style="290" customWidth="1"/>
    <col min="4" max="4" width="17.6640625" style="290" customWidth="1"/>
    <col min="5" max="5" width="17.83203125" style="290" customWidth="1"/>
    <col min="6" max="6" width="16.1640625" style="290" customWidth="1"/>
    <col min="7" max="7" width="14.5" style="290" customWidth="1"/>
    <col min="8" max="8" width="17.83203125" style="290" customWidth="1"/>
    <col min="9" max="16384" width="9.33203125" style="290"/>
  </cols>
  <sheetData>
    <row r="1" spans="1:10" ht="14.25">
      <c r="B1" s="392"/>
    </row>
    <row r="2" spans="1:10" ht="14.25">
      <c r="B2" s="470"/>
    </row>
    <row r="3" spans="1:10" ht="14.25">
      <c r="B3" s="507"/>
    </row>
    <row r="4" spans="1:10" ht="55.5" customHeight="1" thickBot="1">
      <c r="A4" s="539" t="s">
        <v>209</v>
      </c>
      <c r="B4" s="539"/>
      <c r="C4" s="539"/>
      <c r="D4" s="539"/>
      <c r="E4" s="539"/>
      <c r="F4" s="539"/>
      <c r="G4" s="539"/>
      <c r="H4" s="539"/>
      <c r="I4" s="267"/>
      <c r="J4" s="267"/>
    </row>
    <row r="5" spans="1:10" ht="31.5" customHeight="1" thickBot="1">
      <c r="A5" s="264" t="s">
        <v>90</v>
      </c>
      <c r="B5" s="265" t="s">
        <v>92</v>
      </c>
      <c r="C5" s="265" t="s">
        <v>93</v>
      </c>
      <c r="D5" s="265" t="s">
        <v>94</v>
      </c>
      <c r="E5" s="265" t="s">
        <v>55</v>
      </c>
      <c r="F5" s="265" t="s">
        <v>45</v>
      </c>
      <c r="G5" s="265" t="s">
        <v>115</v>
      </c>
      <c r="H5" s="266" t="s">
        <v>95</v>
      </c>
      <c r="I5" s="267"/>
      <c r="J5" s="267"/>
    </row>
    <row r="6" spans="1:10" ht="15" customHeight="1" thickTop="1">
      <c r="A6" s="268">
        <v>1</v>
      </c>
      <c r="B6" s="269">
        <f>'EPA YR 1'!I24</f>
        <v>1279.8</v>
      </c>
      <c r="C6" s="269">
        <f>'EPA YR 1'!J24</f>
        <v>63.99</v>
      </c>
      <c r="D6" s="269">
        <f>'EPA YR 1'!K24</f>
        <v>127.98</v>
      </c>
      <c r="E6" s="269">
        <f>SUM(B6:D6)</f>
        <v>1471.77</v>
      </c>
      <c r="F6" s="270">
        <f>'EPA YR 1'!L24</f>
        <v>68789.807520000002</v>
      </c>
      <c r="G6" s="270">
        <v>0</v>
      </c>
      <c r="H6" s="271">
        <f>+F6+G6</f>
        <v>68789.807520000002</v>
      </c>
      <c r="I6" s="267"/>
      <c r="J6" s="267"/>
    </row>
    <row r="7" spans="1:10" ht="15" customHeight="1">
      <c r="A7" s="272">
        <v>2</v>
      </c>
      <c r="B7" s="273">
        <f>'EPA YR 2'!I24</f>
        <v>415.4</v>
      </c>
      <c r="C7" s="273">
        <f>'EPA YR 2'!J24</f>
        <v>20.770000000000003</v>
      </c>
      <c r="D7" s="273">
        <f>'EPA YR 2'!K24</f>
        <v>41.540000000000006</v>
      </c>
      <c r="E7" s="273">
        <f>SUM(B7:D7)</f>
        <v>477.71</v>
      </c>
      <c r="F7" s="274">
        <f>'EPA YR 2'!L24</f>
        <v>21527.024960000002</v>
      </c>
      <c r="G7" s="274">
        <v>0</v>
      </c>
      <c r="H7" s="368">
        <f>+F7+G7</f>
        <v>21527.024960000002</v>
      </c>
      <c r="I7" s="267"/>
      <c r="J7" s="267"/>
    </row>
    <row r="8" spans="1:10" ht="15" customHeight="1" thickBot="1">
      <c r="A8" s="275">
        <v>3</v>
      </c>
      <c r="B8" s="276">
        <f>'EPA YR 3'!I24</f>
        <v>415.4</v>
      </c>
      <c r="C8" s="276">
        <f>'EPA YR 3'!J24</f>
        <v>20.770000000000003</v>
      </c>
      <c r="D8" s="276">
        <f>'EPA YR 3'!K24</f>
        <v>41.540000000000006</v>
      </c>
      <c r="E8" s="276">
        <f>SUM(B8:D8)</f>
        <v>477.71</v>
      </c>
      <c r="F8" s="274">
        <f>'EPA YR 3'!L24</f>
        <v>21527.024960000002</v>
      </c>
      <c r="G8" s="277">
        <v>0</v>
      </c>
      <c r="H8" s="278">
        <f>+F8+G8</f>
        <v>21527.024960000002</v>
      </c>
      <c r="I8" s="267"/>
      <c r="J8" s="267"/>
    </row>
    <row r="9" spans="1:10" ht="15" customHeight="1" thickTop="1">
      <c r="A9" s="268" t="s">
        <v>41</v>
      </c>
      <c r="B9" s="269">
        <f t="shared" ref="B9:H9" si="0">SUM(B6:B8)</f>
        <v>2110.6</v>
      </c>
      <c r="C9" s="269">
        <f t="shared" si="0"/>
        <v>105.53</v>
      </c>
      <c r="D9" s="269">
        <f t="shared" si="0"/>
        <v>211.06</v>
      </c>
      <c r="E9" s="269">
        <f t="shared" si="0"/>
        <v>2427.19</v>
      </c>
      <c r="F9" s="270">
        <f t="shared" si="0"/>
        <v>111843.85744000002</v>
      </c>
      <c r="G9" s="270">
        <f t="shared" si="0"/>
        <v>0</v>
      </c>
      <c r="H9" s="271">
        <f t="shared" si="0"/>
        <v>111843.85744000002</v>
      </c>
      <c r="I9" s="267"/>
      <c r="J9" s="267"/>
    </row>
    <row r="10" spans="1:10" ht="15" customHeight="1" thickBot="1">
      <c r="A10" s="279" t="s">
        <v>87</v>
      </c>
      <c r="B10" s="280">
        <f t="shared" ref="B10:H10" si="1">AVERAGE(B6:B8)</f>
        <v>703.5333333333333</v>
      </c>
      <c r="C10" s="280">
        <f t="shared" si="1"/>
        <v>35.176666666666669</v>
      </c>
      <c r="D10" s="280">
        <f t="shared" si="1"/>
        <v>70.353333333333339</v>
      </c>
      <c r="E10" s="280">
        <f t="shared" si="1"/>
        <v>809.06333333333339</v>
      </c>
      <c r="F10" s="281">
        <f t="shared" si="1"/>
        <v>37281.285813333343</v>
      </c>
      <c r="G10" s="281">
        <f t="shared" si="1"/>
        <v>0</v>
      </c>
      <c r="H10" s="282">
        <f t="shared" si="1"/>
        <v>37281.285813333343</v>
      </c>
      <c r="I10" s="267"/>
      <c r="J10" s="267"/>
    </row>
    <row r="11" spans="1:10" ht="15" customHeight="1">
      <c r="A11" s="267"/>
      <c r="B11" s="267"/>
      <c r="C11" s="267"/>
      <c r="D11" s="267"/>
      <c r="E11" s="267"/>
      <c r="F11" s="267"/>
      <c r="G11" s="267"/>
      <c r="H11" s="267"/>
      <c r="I11" s="267"/>
      <c r="J11" s="267"/>
    </row>
    <row r="12" spans="1:10" ht="15" customHeight="1">
      <c r="A12" s="267"/>
      <c r="B12" s="267"/>
      <c r="C12" s="267"/>
      <c r="D12" s="267"/>
      <c r="E12" s="267"/>
      <c r="F12" s="267"/>
      <c r="G12" s="267"/>
      <c r="H12" s="267"/>
      <c r="I12" s="267"/>
      <c r="J12" s="267"/>
    </row>
    <row r="13" spans="1:10">
      <c r="A13" s="267"/>
      <c r="B13" s="267"/>
      <c r="C13" s="267"/>
      <c r="D13" s="267"/>
      <c r="E13" s="267"/>
      <c r="F13" s="267"/>
      <c r="G13" s="267"/>
      <c r="H13" s="267"/>
      <c r="I13" s="267"/>
      <c r="J13" s="267"/>
    </row>
    <row r="14" spans="1:10">
      <c r="A14" s="267"/>
      <c r="B14" s="267"/>
      <c r="C14" s="267"/>
      <c r="D14" s="267"/>
      <c r="E14" s="267"/>
      <c r="F14" s="267"/>
      <c r="G14" s="267"/>
      <c r="H14" s="267"/>
      <c r="I14" s="267"/>
      <c r="J14" s="267"/>
    </row>
    <row r="15" spans="1:10">
      <c r="A15" s="267"/>
      <c r="B15" s="267"/>
      <c r="C15" s="267"/>
      <c r="D15" s="267"/>
      <c r="E15" s="267"/>
      <c r="F15" s="267"/>
      <c r="G15" s="267"/>
      <c r="H15" s="267"/>
      <c r="I15" s="267"/>
      <c r="J15" s="267"/>
    </row>
    <row r="16" spans="1:10">
      <c r="A16" s="267"/>
      <c r="B16" s="267"/>
      <c r="C16" s="267"/>
      <c r="D16" s="267"/>
      <c r="E16" s="267"/>
      <c r="F16" s="267"/>
      <c r="G16" s="267"/>
      <c r="H16" s="267"/>
      <c r="I16" s="267"/>
      <c r="J16" s="267"/>
    </row>
    <row r="17" spans="1:10">
      <c r="A17" s="267"/>
      <c r="B17" s="267"/>
      <c r="C17" s="267"/>
      <c r="D17" s="267"/>
      <c r="E17" s="267"/>
      <c r="F17" s="267"/>
      <c r="G17" s="267"/>
      <c r="H17" s="267"/>
      <c r="I17" s="267"/>
      <c r="J17" s="267"/>
    </row>
    <row r="18" spans="1:10">
      <c r="A18" s="267"/>
      <c r="B18" s="267"/>
      <c r="C18" s="267"/>
      <c r="D18" s="267"/>
      <c r="E18" s="267"/>
      <c r="F18" s="267"/>
      <c r="G18" s="267"/>
      <c r="H18" s="267"/>
      <c r="I18" s="267"/>
      <c r="J18" s="267"/>
    </row>
    <row r="19" spans="1:10">
      <c r="A19" s="267"/>
      <c r="B19" s="267"/>
      <c r="C19" s="267"/>
      <c r="D19" s="267"/>
      <c r="E19" s="267"/>
      <c r="F19" s="267"/>
      <c r="G19" s="267"/>
      <c r="H19" s="267"/>
      <c r="I19" s="267"/>
      <c r="J19" s="267"/>
    </row>
  </sheetData>
  <mergeCells count="1">
    <mergeCell ref="A4:H4"/>
  </mergeCells>
  <phoneticPr fontId="0"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Main</vt:lpstr>
      <vt:lpstr>PVC YR 1</vt:lpstr>
      <vt:lpstr>PVC YR 2</vt:lpstr>
      <vt:lpstr>PVC YR 3</vt:lpstr>
      <vt:lpstr>PVC Summary-PV</vt:lpstr>
      <vt:lpstr>EPA YR 1</vt:lpstr>
      <vt:lpstr>EPA YR 2</vt:lpstr>
      <vt:lpstr>EPA YR 3</vt:lpstr>
      <vt:lpstr>EPA Summary</vt:lpstr>
      <vt:lpstr>Hrs_Responses</vt:lpstr>
      <vt:lpstr>Record&amp;Reporting Burden Only</vt:lpstr>
      <vt:lpstr>Process Vent - T&amp;M Costs</vt:lpstr>
      <vt:lpstr>Resin T&amp;M Costs</vt:lpstr>
      <vt:lpstr>Wastewater T&amp;M Costs</vt:lpstr>
      <vt:lpstr>EquipmentLeaks - T&amp;M Costs</vt:lpstr>
      <vt:lpstr>Hourly Rates</vt:lpstr>
      <vt:lpstr>'EPA Summary'!Print_Area</vt:lpstr>
      <vt:lpstr>'EPA YR 1'!Print_Area</vt:lpstr>
      <vt:lpstr>'EPA YR 2'!Print_Area</vt:lpstr>
      <vt:lpstr>'EPA YR 3'!Print_Area</vt:lpstr>
      <vt:lpstr>'Hourly Rates'!Print_Area</vt:lpstr>
      <vt:lpstr>'PVC Summary-PV'!Print_Area</vt:lpstr>
      <vt:lpstr>'PVC YR 1'!Print_Area</vt:lpstr>
      <vt:lpstr>'PVC YR 2'!Print_Area</vt:lpstr>
      <vt:lpstr>'PVC YR 3'!Print_Area</vt:lpstr>
      <vt:lpstr>'Record&amp;Reporting Burden Only'!Print_Area</vt:lpstr>
      <vt:lpstr>'PVC YR 1'!Print_Titles</vt:lpstr>
      <vt:lpstr>'PVC YR 2'!Print_Titles</vt:lpstr>
      <vt:lpstr>'PVC YR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ckerwin</cp:lastModifiedBy>
  <cp:lastPrinted>2011-12-27T18:02:18Z</cp:lastPrinted>
  <dcterms:created xsi:type="dcterms:W3CDTF">1998-09-17T19:20:06Z</dcterms:created>
  <dcterms:modified xsi:type="dcterms:W3CDTF">2012-04-17T12:39:12Z</dcterms:modified>
</cp:coreProperties>
</file>