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945" activeTab="5"/>
  </bookViews>
  <sheets>
    <sheet name="Cert" sheetId="8" r:id="rId1"/>
    <sheet name="PLT" sheetId="1" r:id="rId2"/>
    <sheet name="In use" sheetId="3" r:id="rId3"/>
    <sheet name="Ag Cert" sheetId="9" r:id="rId4"/>
    <sheet name="Agency PLT" sheetId="5" r:id="rId5"/>
    <sheet name="Ag In use" sheetId="6" r:id="rId6"/>
  </sheets>
  <definedNames>
    <definedName name="_xlnm.Print_Area" localSheetId="3">'Ag Cert'!$A$1:$N$22</definedName>
    <definedName name="_xlnm.Print_Area" localSheetId="0">Cert!$A$1:$P$23</definedName>
    <definedName name="_xlnm.Print_Area">#N/A</definedName>
  </definedNames>
  <calcPr calcId="125725"/>
</workbook>
</file>

<file path=xl/calcChain.xml><?xml version="1.0" encoding="utf-8"?>
<calcChain xmlns="http://schemas.openxmlformats.org/spreadsheetml/2006/main">
  <c r="F7" i="6"/>
  <c r="K7" s="1"/>
  <c r="K18" s="1"/>
  <c r="E7"/>
  <c r="J7" s="1"/>
  <c r="L12" i="8"/>
  <c r="L11"/>
  <c r="L10"/>
  <c r="L8"/>
  <c r="L7"/>
  <c r="F15" i="6"/>
  <c r="F14"/>
  <c r="F13"/>
  <c r="F12"/>
  <c r="F11"/>
  <c r="F10"/>
  <c r="F9"/>
  <c r="F8"/>
  <c r="F6"/>
  <c r="F14" i="5"/>
  <c r="F13"/>
  <c r="F12"/>
  <c r="F11"/>
  <c r="F10"/>
  <c r="F9"/>
  <c r="F8"/>
  <c r="F7"/>
  <c r="F6"/>
  <c r="F5"/>
  <c r="H17" i="9"/>
  <c r="H16"/>
  <c r="H15"/>
  <c r="H14"/>
  <c r="H13"/>
  <c r="H12"/>
  <c r="H11"/>
  <c r="H10"/>
  <c r="H9"/>
  <c r="H8"/>
  <c r="H7"/>
  <c r="N13" i="3"/>
  <c r="N11"/>
  <c r="N12"/>
  <c r="N10"/>
  <c r="N9"/>
  <c r="N8"/>
  <c r="L16" i="8"/>
  <c r="L15"/>
  <c r="L13"/>
  <c r="L14"/>
  <c r="I17"/>
  <c r="I16"/>
  <c r="I15"/>
  <c r="I14"/>
  <c r="I13"/>
  <c r="I12"/>
  <c r="I11"/>
  <c r="I10"/>
  <c r="I9"/>
  <c r="I8"/>
  <c r="I7"/>
  <c r="I6"/>
  <c r="I5"/>
  <c r="K10" i="3"/>
  <c r="K11"/>
  <c r="K12"/>
  <c r="K15"/>
  <c r="K14"/>
  <c r="K13"/>
  <c r="K9"/>
  <c r="K8"/>
  <c r="K7"/>
  <c r="K6"/>
  <c r="K5"/>
  <c r="J5" i="1"/>
  <c r="P5"/>
  <c r="J6"/>
  <c r="P6"/>
  <c r="J7"/>
  <c r="P7"/>
  <c r="J8"/>
  <c r="P8"/>
  <c r="J9"/>
  <c r="P9" s="1"/>
  <c r="J10"/>
  <c r="P10"/>
  <c r="J11"/>
  <c r="P11"/>
  <c r="J12"/>
  <c r="P12"/>
  <c r="J13"/>
  <c r="P13" s="1"/>
  <c r="J14"/>
  <c r="P14" s="1"/>
  <c r="J15"/>
  <c r="P15" s="1"/>
  <c r="J16"/>
  <c r="P16" s="1"/>
  <c r="I19" i="8"/>
  <c r="J20" i="9"/>
  <c r="H20"/>
  <c r="H17" i="5"/>
  <c r="F17"/>
  <c r="H18" i="6"/>
  <c r="F18"/>
  <c r="E15"/>
  <c r="E14"/>
  <c r="E13"/>
  <c r="E12"/>
  <c r="E11"/>
  <c r="E10"/>
  <c r="E9"/>
  <c r="E8"/>
  <c r="E6"/>
  <c r="E14" i="5"/>
  <c r="E13"/>
  <c r="E12"/>
  <c r="E11"/>
  <c r="E10"/>
  <c r="E9"/>
  <c r="E8"/>
  <c r="E7"/>
  <c r="E6"/>
  <c r="E5"/>
  <c r="D16"/>
  <c r="N17" i="9"/>
  <c r="N16"/>
  <c r="N15"/>
  <c r="N14"/>
  <c r="N13"/>
  <c r="N12"/>
  <c r="N11"/>
  <c r="N10"/>
  <c r="N9"/>
  <c r="N8"/>
  <c r="N7"/>
  <c r="N20"/>
  <c r="G10"/>
  <c r="M10"/>
  <c r="G7"/>
  <c r="M7"/>
  <c r="G8"/>
  <c r="M8"/>
  <c r="G9"/>
  <c r="M9"/>
  <c r="G11"/>
  <c r="M11"/>
  <c r="G12"/>
  <c r="M12"/>
  <c r="G13"/>
  <c r="M13"/>
  <c r="G14"/>
  <c r="M14"/>
  <c r="G15"/>
  <c r="M15"/>
  <c r="G16"/>
  <c r="M16"/>
  <c r="G17"/>
  <c r="M17"/>
  <c r="M20"/>
  <c r="F19"/>
  <c r="J19"/>
  <c r="I19"/>
  <c r="H19"/>
  <c r="G19"/>
  <c r="E19"/>
  <c r="D19"/>
  <c r="C19"/>
  <c r="B19"/>
  <c r="I5" i="1"/>
  <c r="I6"/>
  <c r="I7"/>
  <c r="I8"/>
  <c r="I9"/>
  <c r="I10"/>
  <c r="I11"/>
  <c r="I12"/>
  <c r="I13"/>
  <c r="I14"/>
  <c r="I15"/>
  <c r="I16"/>
  <c r="I18"/>
  <c r="J15" i="3"/>
  <c r="J14"/>
  <c r="J13"/>
  <c r="J12"/>
  <c r="J11"/>
  <c r="J10"/>
  <c r="J9"/>
  <c r="J8"/>
  <c r="J7"/>
  <c r="J6"/>
  <c r="J5"/>
  <c r="I17"/>
  <c r="H17"/>
  <c r="J17"/>
  <c r="H5" i="8"/>
  <c r="N5" s="1"/>
  <c r="H6"/>
  <c r="N6" s="1"/>
  <c r="H7"/>
  <c r="N7" s="1"/>
  <c r="H8"/>
  <c r="N8" s="1"/>
  <c r="H9"/>
  <c r="N9" s="1"/>
  <c r="H10"/>
  <c r="N10" s="1"/>
  <c r="H11"/>
  <c r="N11" s="1"/>
  <c r="H12"/>
  <c r="N12" s="1"/>
  <c r="H13"/>
  <c r="N13" s="1"/>
  <c r="H14"/>
  <c r="N14" s="1"/>
  <c r="H15"/>
  <c r="N15" s="1"/>
  <c r="H16"/>
  <c r="N16" s="1"/>
  <c r="H17"/>
  <c r="N17" s="1"/>
  <c r="M18" i="3"/>
  <c r="Q12"/>
  <c r="P12"/>
  <c r="O11" i="8"/>
  <c r="K18" i="3"/>
  <c r="K17"/>
  <c r="L19" i="1"/>
  <c r="J19"/>
  <c r="J18"/>
  <c r="O5" i="8"/>
  <c r="O6"/>
  <c r="O20" s="1"/>
  <c r="O7"/>
  <c r="O8"/>
  <c r="O9"/>
  <c r="O10"/>
  <c r="O12"/>
  <c r="O13"/>
  <c r="O14"/>
  <c r="O15"/>
  <c r="O16"/>
  <c r="O17"/>
  <c r="K20"/>
  <c r="I20"/>
  <c r="J19"/>
  <c r="H19"/>
  <c r="G19"/>
  <c r="F19"/>
  <c r="E19"/>
  <c r="D19"/>
  <c r="C19"/>
  <c r="B19"/>
  <c r="J6" i="6"/>
  <c r="J18" s="1"/>
  <c r="K6"/>
  <c r="J8"/>
  <c r="K8"/>
  <c r="J9"/>
  <c r="K9"/>
  <c r="J10"/>
  <c r="K10"/>
  <c r="J11"/>
  <c r="K11"/>
  <c r="J12"/>
  <c r="K12"/>
  <c r="J13"/>
  <c r="K13"/>
  <c r="J14"/>
  <c r="K14"/>
  <c r="J15"/>
  <c r="K15"/>
  <c r="B17"/>
  <c r="C17"/>
  <c r="E17"/>
  <c r="F17"/>
  <c r="H17"/>
  <c r="L5" i="5"/>
  <c r="M5"/>
  <c r="L6"/>
  <c r="M6"/>
  <c r="L7"/>
  <c r="M7"/>
  <c r="L8"/>
  <c r="M8"/>
  <c r="L9"/>
  <c r="M9"/>
  <c r="L10"/>
  <c r="M10"/>
  <c r="L11"/>
  <c r="M11"/>
  <c r="L12"/>
  <c r="M12"/>
  <c r="L13"/>
  <c r="M13"/>
  <c r="L14"/>
  <c r="M14"/>
  <c r="B16"/>
  <c r="C16"/>
  <c r="E16"/>
  <c r="F16"/>
  <c r="G16"/>
  <c r="H16"/>
  <c r="L17"/>
  <c r="M17"/>
  <c r="P5" i="3"/>
  <c r="Q5"/>
  <c r="P6"/>
  <c r="Q6"/>
  <c r="P7"/>
  <c r="Q7"/>
  <c r="P8"/>
  <c r="Q8"/>
  <c r="P9"/>
  <c r="Q9"/>
  <c r="P10"/>
  <c r="Q10"/>
  <c r="P11"/>
  <c r="Q11"/>
  <c r="P13"/>
  <c r="Q13"/>
  <c r="P14"/>
  <c r="Q14"/>
  <c r="P15"/>
  <c r="Q15"/>
  <c r="B17"/>
  <c r="C17"/>
  <c r="D17"/>
  <c r="E17"/>
  <c r="F17"/>
  <c r="G17"/>
  <c r="P18"/>
  <c r="Q18"/>
  <c r="N22"/>
  <c r="O5" i="1"/>
  <c r="O6"/>
  <c r="O7"/>
  <c r="O8"/>
  <c r="O9"/>
  <c r="O10"/>
  <c r="O11"/>
  <c r="O12"/>
  <c r="O13"/>
  <c r="O14"/>
  <c r="O15"/>
  <c r="O16"/>
  <c r="B18"/>
  <c r="C18"/>
  <c r="D18"/>
  <c r="E18"/>
  <c r="F18"/>
  <c r="G18"/>
  <c r="H18"/>
  <c r="K18"/>
  <c r="O19"/>
  <c r="L22" s="1"/>
  <c r="N20" i="8" l="1"/>
  <c r="I23" s="1"/>
  <c r="P19" i="1"/>
</calcChain>
</file>

<file path=xl/sharedStrings.xml><?xml version="1.0" encoding="utf-8"?>
<sst xmlns="http://schemas.openxmlformats.org/spreadsheetml/2006/main" count="281" uniqueCount="148">
  <si>
    <t>Table 2</t>
  </si>
  <si>
    <t>Hours and cost per engine family</t>
  </si>
  <si>
    <t>Total hours and cost</t>
  </si>
  <si>
    <t>Information Collection              Activity</t>
  </si>
  <si>
    <t>Respon.     hr/yr</t>
  </si>
  <si>
    <t>Labor Cost/yr</t>
  </si>
  <si>
    <t>Capital Startup      Cost</t>
  </si>
  <si>
    <t>O &amp; M      Cost(1)</t>
  </si>
  <si>
    <t>Frequency (2)</t>
  </si>
  <si>
    <t>Number of Respon.</t>
  </si>
  <si>
    <t>Total hr/yr</t>
  </si>
  <si>
    <t>Total Cost/yr</t>
  </si>
  <si>
    <t>Review of instructions and regulations</t>
  </si>
  <si>
    <t>Training</t>
  </si>
  <si>
    <t>Projecting testing needs and planning test schedules</t>
  </si>
  <si>
    <t xml:space="preserve">Engine inspection </t>
  </si>
  <si>
    <t>Testing (In-house)</t>
  </si>
  <si>
    <t xml:space="preserve">   Data entry and analysis</t>
  </si>
  <si>
    <t xml:space="preserve">   Other tasks (test equipment calibration, engine repair, etc.)</t>
  </si>
  <si>
    <t>Testing (Contract Out)</t>
  </si>
  <si>
    <t xml:space="preserve">   Setting up contract</t>
  </si>
  <si>
    <t>Preparing and submitting  report</t>
  </si>
  <si>
    <t>Store, file and maintain records</t>
  </si>
  <si>
    <t>Total per manufacturer</t>
  </si>
  <si>
    <t>varies</t>
  </si>
  <si>
    <t>N/A</t>
  </si>
  <si>
    <t>Total for the industry</t>
  </si>
  <si>
    <t>(1) Includes diskettes, photocopying, postage expenses, phone calls, and testing costs, annualized.  See section 6(b)(iii) for details.</t>
  </si>
  <si>
    <t>(2) 1 = one time tasks; 4 = tasks carried out quarterly; other # = number of engine families.  Refer to Section 6(d) for further detail.</t>
  </si>
  <si>
    <t>Average Burden=</t>
  </si>
  <si>
    <t>total burden/#respond</t>
  </si>
  <si>
    <t>=</t>
  </si>
  <si>
    <t>hrs per respon</t>
  </si>
  <si>
    <t>Table 3</t>
  </si>
  <si>
    <t>Hours and cost per application</t>
  </si>
  <si>
    <t>Labor       Cost/yr</t>
  </si>
  <si>
    <t>Plan activities</t>
  </si>
  <si>
    <t>Procure engines</t>
  </si>
  <si>
    <t>Ship Engines</t>
  </si>
  <si>
    <t>Engine Maintenance</t>
  </si>
  <si>
    <t xml:space="preserve">Data entry and analysis </t>
  </si>
  <si>
    <t xml:space="preserve">Preparing and submitting  report </t>
  </si>
  <si>
    <t xml:space="preserve">      See section 6(b)(iii) for details.</t>
  </si>
  <si>
    <t>(2) 1 = one time tasks</t>
  </si>
  <si>
    <t xml:space="preserve">      Refer to Section 6(d) for further detail.</t>
  </si>
  <si>
    <t>Table 7</t>
  </si>
  <si>
    <t>Annual Agency Burden and Cost - Production Line Testing Program</t>
  </si>
  <si>
    <t>Agency    hr/yr</t>
  </si>
  <si>
    <t>Agency Labor cost/yr</t>
  </si>
  <si>
    <t>O &amp; M      Cost  (1)</t>
  </si>
  <si>
    <t>Frequency</t>
  </si>
  <si>
    <t>Total cost/yr</t>
  </si>
  <si>
    <t>Review regulations</t>
  </si>
  <si>
    <t>Answer respondent questions</t>
  </si>
  <si>
    <t>Review reports for format and completeness</t>
  </si>
  <si>
    <t>Analyze reports</t>
  </si>
  <si>
    <t>Request additional information, if needed</t>
  </si>
  <si>
    <t>Enter data from reports into database and file submittals</t>
  </si>
  <si>
    <t>Maintain/ enhance database</t>
  </si>
  <si>
    <t>Post data in Internet</t>
  </si>
  <si>
    <t>Analyze requests for confidentiality</t>
  </si>
  <si>
    <t>Audit reports and records</t>
  </si>
  <si>
    <t>Total per participating engine family</t>
  </si>
  <si>
    <t>Total for the agency</t>
  </si>
  <si>
    <t>(1) Includes photocopying, postage expenses and calls.</t>
  </si>
  <si>
    <t>Annual Agency Burden and Cost - In-use Testing Program</t>
  </si>
  <si>
    <t>Labor cost/yr</t>
  </si>
  <si>
    <t>Total               cost/yr</t>
  </si>
  <si>
    <t>Review Regulations</t>
  </si>
  <si>
    <t>Evaluate testing plans</t>
  </si>
  <si>
    <t>Enter data from reports into database</t>
  </si>
  <si>
    <t>Review submitted reports for format and completeness</t>
  </si>
  <si>
    <t>Request additional information if needed</t>
  </si>
  <si>
    <t>Total</t>
  </si>
  <si>
    <t>Table 1</t>
  </si>
  <si>
    <t>Annual Respondent Burden and Cost - Marine SI Engine Certification and AB&amp;T Programs</t>
  </si>
  <si>
    <t>Labor            Cost/yr</t>
  </si>
  <si>
    <t>Applications/      respondent(2)</t>
  </si>
  <si>
    <t>Total        hr/yr</t>
  </si>
  <si>
    <t>Total               Cost/yr</t>
  </si>
  <si>
    <t>Review of regs and guidance document</t>
  </si>
  <si>
    <t>Developing eng families groups</t>
  </si>
  <si>
    <t>Developing deterioration factors</t>
  </si>
  <si>
    <t>Testing/Gathering emission data   on test engines</t>
  </si>
  <si>
    <t xml:space="preserve">      Laboratory maintenance(1)</t>
  </si>
  <si>
    <t xml:space="preserve">      Test Cost (annualized)(1)</t>
  </si>
  <si>
    <t>Analyze data to determine compliance</t>
  </si>
  <si>
    <t>Preparing and submitting certification application and fee filing form</t>
  </si>
  <si>
    <t>Preparing and submitting "carry over" applications</t>
  </si>
  <si>
    <t>Fee (3)</t>
  </si>
  <si>
    <t>Preparing and supporting running changes</t>
  </si>
  <si>
    <t>Preparing and submitting annual production report and final AB&amp;T Report</t>
  </si>
  <si>
    <t>Total per respondent</t>
  </si>
  <si>
    <t>(1) See section 6(b)ii for details.</t>
  </si>
  <si>
    <t>(3) See section 6(b)(ii) for details.</t>
  </si>
  <si>
    <t>(2) See section 6(d) for details.</t>
  </si>
  <si>
    <t>Annual Respondent Burden and Cost - Marine SI Production Line Testing Program</t>
  </si>
  <si>
    <t>Annual Respondent Burden and Cost - Marine SI In-useTesting Program</t>
  </si>
  <si>
    <t>Average burden=</t>
  </si>
  <si>
    <t>(1) Includes diskettes, photocopying, postage expenses, phone calls, fuel and testing costs, annualized.</t>
  </si>
  <si>
    <t>Engine selection and transport</t>
  </si>
  <si>
    <t>Table 5</t>
  </si>
  <si>
    <t>Annual Agency Burden and Cost - Certification Program</t>
  </si>
  <si>
    <t>Respon.    hr/yr</t>
  </si>
  <si>
    <t>O &amp; M Cost (1)</t>
  </si>
  <si>
    <t>Entering data from applications into database</t>
  </si>
  <si>
    <t>Reviewing applications, asking questions</t>
  </si>
  <si>
    <t>Verifying that the correct engines have been tested</t>
  </si>
  <si>
    <t>Answering manufacturers' questions</t>
  </si>
  <si>
    <t>Issuing appropriate certificates</t>
  </si>
  <si>
    <t>Storing data</t>
  </si>
  <si>
    <t>Answering questions from the public</t>
  </si>
  <si>
    <t>Upgrading and maintaining the database</t>
  </si>
  <si>
    <t>Handling requests for confidentiality</t>
  </si>
  <si>
    <t>Making information available to the public</t>
  </si>
  <si>
    <t>Review of regs and standards</t>
  </si>
  <si>
    <t>Table 6</t>
  </si>
  <si>
    <t>Engineer ($72.43/hr)</t>
  </si>
  <si>
    <t>Manager ($110.29/hr)</t>
  </si>
  <si>
    <t>Legal ($114.77/hr)</t>
  </si>
  <si>
    <t>Test Cell Operator ($50.63/hr)</t>
  </si>
  <si>
    <t>Transportation ($42.86/hr)</t>
  </si>
  <si>
    <t>Clerical ($29.93/hr)</t>
  </si>
  <si>
    <t>Respondent     hr/yr</t>
  </si>
  <si>
    <t>Number of Respondents</t>
  </si>
  <si>
    <t>Engineer @72.43/hr</t>
  </si>
  <si>
    <t>Manager @ $110.29/hr</t>
  </si>
  <si>
    <t>Legal @ $114.77/hr</t>
  </si>
  <si>
    <t>Test Cell Operator@$50.63/hr</t>
  </si>
  <si>
    <t>Transportation @ $42.86/hr</t>
  </si>
  <si>
    <t>Clerical@ $29.93/hr</t>
  </si>
  <si>
    <t>Assembler ($41.01/hr)</t>
  </si>
  <si>
    <t>Number of Respondent</t>
  </si>
  <si>
    <t>Mechanic ($39.31/hr)</t>
  </si>
  <si>
    <t>Boat Driver ($39.50)</t>
  </si>
  <si>
    <t>Respondents     hr/yr</t>
  </si>
  <si>
    <t>Engineer ($71.02/hr)</t>
  </si>
  <si>
    <t>Manager ($84.61/hr)</t>
  </si>
  <si>
    <t>SES-1 $143.08</t>
  </si>
  <si>
    <t>Applications    /Respondent</t>
  </si>
  <si>
    <t>Engine Families per Repondent</t>
  </si>
  <si>
    <t xml:space="preserve">      1.9 = tasks performed per engine family (3 engine families participate per manufacturer)</t>
  </si>
  <si>
    <t xml:space="preserve">      8.6 and 8.0 = number of tests performed/engine manufacturer/model year (minimum of 4 tests per engine family participating in any given model year).</t>
  </si>
  <si>
    <t xml:space="preserve">(2) An administrative fee of $2,151.38 is paid annually to the association that provides EPA SEE Employees.  This fee was divided by the total number of hours (588) the senior spends in </t>
  </si>
  <si>
    <t xml:space="preserve">     this program as calculated in the table above and added to the salary rate ($20.72+$3.66=24.38).</t>
  </si>
  <si>
    <t>Senior ($24.38) (2)</t>
  </si>
  <si>
    <t>Attorney ($81.56/hr)</t>
  </si>
  <si>
    <t>Select families for testing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</si>
</sst>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&quot;$&quot;#,##0"/>
  </numFmts>
  <fonts count="7">
    <font>
      <sz val="12"/>
      <name val="Arial"/>
    </font>
    <font>
      <sz val="8"/>
      <name val="Arial"/>
    </font>
    <font>
      <sz val="10"/>
      <name val="Arial"/>
    </font>
    <font>
      <u/>
      <sz val="10"/>
      <color indexed="39"/>
      <name val="Arial"/>
    </font>
    <font>
      <sz val="11"/>
      <name val="Arial"/>
    </font>
    <font>
      <sz val="12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top"/>
    </xf>
    <xf numFmtId="0" fontId="3" fillId="0" borderId="0" applyFont="0" applyFill="0" applyBorder="0" applyAlignment="0" applyProtection="0">
      <alignment vertical="top"/>
    </xf>
    <xf numFmtId="0" fontId="5" fillId="0" borderId="0">
      <alignment vertical="top"/>
    </xf>
  </cellStyleXfs>
  <cellXfs count="135">
    <xf numFmtId="0" fontId="0" fillId="0" borderId="0" xfId="0" applyAlignment="1"/>
    <xf numFmtId="164" fontId="0" fillId="0" borderId="0" xfId="0" applyNumberFormat="1" applyAlignment="1"/>
    <xf numFmtId="4" fontId="0" fillId="0" borderId="0" xfId="0" applyNumberFormat="1" applyAlignment="1"/>
    <xf numFmtId="16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164" fontId="1" fillId="0" borderId="0" xfId="0" applyNumberFormat="1" applyFont="1" applyAlignment="1"/>
    <xf numFmtId="4" fontId="1" fillId="0" borderId="0" xfId="0" applyNumberFormat="1" applyFont="1" applyAlignment="1"/>
    <xf numFmtId="3" fontId="1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right"/>
    </xf>
    <xf numFmtId="4" fontId="2" fillId="0" borderId="0" xfId="0" applyNumberFormat="1" applyFont="1" applyAlignment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centerContinuous"/>
    </xf>
    <xf numFmtId="0" fontId="1" fillId="0" borderId="0" xfId="0" applyNumberFormat="1" applyFont="1" applyAlignment="1"/>
    <xf numFmtId="0" fontId="0" fillId="0" borderId="0" xfId="0" applyNumberFormat="1" applyFont="1" applyAlignment="1"/>
    <xf numFmtId="0" fontId="1" fillId="0" borderId="0" xfId="0" applyNumberFormat="1" applyFont="1" applyAlignment="1">
      <alignment wrapText="1"/>
    </xf>
    <xf numFmtId="0" fontId="1" fillId="0" borderId="0" xfId="0" applyNumberFormat="1" applyFont="1" applyBorder="1" applyAlignment="1">
      <alignment wrapText="1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>
      <alignment vertical="top"/>
    </xf>
    <xf numFmtId="4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0" fillId="0" borderId="0" xfId="0" applyNumberFormat="1" applyFont="1" applyBorder="1" applyAlignment="1"/>
    <xf numFmtId="0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4" fontId="0" fillId="0" borderId="0" xfId="0" applyNumberFormat="1">
      <alignment vertical="top"/>
    </xf>
    <xf numFmtId="3" fontId="1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center"/>
    </xf>
    <xf numFmtId="0" fontId="0" fillId="0" borderId="0" xfId="0" applyBorder="1">
      <alignment vertical="top"/>
    </xf>
    <xf numFmtId="165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>
      <alignment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wrapText="1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wrapText="1"/>
    </xf>
    <xf numFmtId="3" fontId="1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3" fontId="1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3" fontId="1" fillId="0" borderId="0" xfId="0" applyNumberFormat="1" applyFont="1" applyBorder="1" applyAlignment="1">
      <alignment horizontal="right" wrapText="1"/>
    </xf>
    <xf numFmtId="0" fontId="0" fillId="0" borderId="0" xfId="0" applyBorder="1" applyAlignment="1"/>
    <xf numFmtId="3" fontId="1" fillId="0" borderId="4" xfId="0" applyNumberFormat="1" applyFont="1" applyBorder="1" applyAlignment="1">
      <alignment horizontal="right" wrapText="1"/>
    </xf>
    <xf numFmtId="166" fontId="1" fillId="0" borderId="0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166" fontId="1" fillId="0" borderId="4" xfId="0" applyNumberFormat="1" applyFont="1" applyBorder="1" applyAlignment="1">
      <alignment horizontal="right" wrapText="1"/>
    </xf>
    <xf numFmtId="0" fontId="1" fillId="0" borderId="6" xfId="0" applyNumberFormat="1" applyFont="1" applyBorder="1" applyAlignment="1">
      <alignment horizontal="centerContinuous"/>
    </xf>
    <xf numFmtId="164" fontId="1" fillId="0" borderId="7" xfId="0" applyNumberFormat="1" applyFont="1" applyBorder="1" applyAlignment="1">
      <alignment horizontal="centerContinuous"/>
    </xf>
    <xf numFmtId="0" fontId="1" fillId="0" borderId="3" xfId="0" applyNumberFormat="1" applyFont="1" applyBorder="1" applyAlignment="1">
      <alignment horizontal="centerContinuous"/>
    </xf>
    <xf numFmtId="166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3" fontId="1" fillId="0" borderId="1" xfId="0" applyNumberFormat="1" applyFont="1" applyBorder="1" applyAlignment="1">
      <alignment wrapText="1"/>
    </xf>
    <xf numFmtId="0" fontId="4" fillId="0" borderId="0" xfId="0" applyFont="1" applyAlignment="1"/>
    <xf numFmtId="0" fontId="4" fillId="0" borderId="0" xfId="0" applyFont="1">
      <alignment vertical="top"/>
    </xf>
    <xf numFmtId="4" fontId="4" fillId="0" borderId="0" xfId="0" applyNumberFormat="1" applyFont="1" applyAlignment="1"/>
    <xf numFmtId="0" fontId="4" fillId="0" borderId="0" xfId="0" applyFont="1" applyAlignment="1">
      <alignment horizontal="right"/>
    </xf>
    <xf numFmtId="0" fontId="2" fillId="0" borderId="0" xfId="0" applyFont="1">
      <alignment vertical="top"/>
    </xf>
    <xf numFmtId="0" fontId="2" fillId="0" borderId="0" xfId="0" applyFont="1" applyAlignment="1">
      <alignment horizontal="left"/>
    </xf>
    <xf numFmtId="4" fontId="2" fillId="0" borderId="0" xfId="0" applyNumberFormat="1" applyFo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166" fontId="1" fillId="0" borderId="4" xfId="0" applyNumberFormat="1" applyFont="1" applyBorder="1" applyAlignment="1">
      <alignment wrapText="1"/>
    </xf>
    <xf numFmtId="0" fontId="1" fillId="0" borderId="1" xfId="1" applyFont="1" applyBorder="1" applyAlignment="1">
      <alignment horizontal="center" vertical="center" wrapText="1"/>
    </xf>
    <xf numFmtId="0" fontId="6" fillId="0" borderId="3" xfId="2" applyNumberFormat="1" applyFont="1" applyFill="1" applyBorder="1" applyAlignment="1">
      <alignment horizontal="left" vertical="top" wrapText="1"/>
    </xf>
    <xf numFmtId="0" fontId="6" fillId="0" borderId="1" xfId="2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1" xfId="2" applyNumberFormat="1" applyFont="1" applyFill="1" applyBorder="1" applyAlignment="1">
      <alignment horizontal="center" vertical="top" wrapText="1"/>
    </xf>
    <xf numFmtId="0" fontId="1" fillId="0" borderId="3" xfId="2" applyNumberFormat="1" applyFont="1" applyFill="1" applyBorder="1" applyAlignment="1">
      <alignment horizontal="left" vertical="top" wrapText="1"/>
    </xf>
    <xf numFmtId="0" fontId="1" fillId="0" borderId="1" xfId="2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1" xfId="2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/>
    <xf numFmtId="0" fontId="1" fillId="0" borderId="1" xfId="0" applyFont="1" applyBorder="1" applyAlignment="1"/>
    <xf numFmtId="166" fontId="1" fillId="0" borderId="1" xfId="0" applyNumberFormat="1" applyFont="1" applyBorder="1" applyAlignment="1"/>
    <xf numFmtId="164" fontId="1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centerContinuous" vertical="top"/>
    </xf>
    <xf numFmtId="4" fontId="1" fillId="0" borderId="0" xfId="0" applyNumberFormat="1" applyFont="1" applyAlignment="1">
      <alignment horizontal="centerContinuous" vertical="top"/>
    </xf>
    <xf numFmtId="0" fontId="1" fillId="0" borderId="0" xfId="0" applyFont="1" applyAlignment="1">
      <alignment horizontal="left"/>
    </xf>
    <xf numFmtId="0" fontId="1" fillId="0" borderId="0" xfId="0" applyFont="1">
      <alignment vertical="top"/>
    </xf>
    <xf numFmtId="0" fontId="1" fillId="0" borderId="6" xfId="0" applyFont="1" applyBorder="1" applyAlignment="1">
      <alignment horizontal="centerContinuous" vertical="top"/>
    </xf>
    <xf numFmtId="0" fontId="1" fillId="0" borderId="7" xfId="0" applyFont="1" applyBorder="1" applyAlignment="1">
      <alignment horizontal="centerContinuous" vertical="top"/>
    </xf>
    <xf numFmtId="4" fontId="1" fillId="0" borderId="7" xfId="0" applyNumberFormat="1" applyFont="1" applyBorder="1" applyAlignment="1">
      <alignment horizontal="centerContinuous" vertical="top"/>
    </xf>
    <xf numFmtId="4" fontId="1" fillId="0" borderId="3" xfId="0" applyNumberFormat="1" applyFont="1" applyBorder="1" applyAlignment="1">
      <alignment horizontal="centerContinuous" vertical="top"/>
    </xf>
    <xf numFmtId="0" fontId="1" fillId="0" borderId="3" xfId="0" applyFont="1" applyBorder="1" applyAlignment="1">
      <alignment horizontal="centerContinuous" vertical="top"/>
    </xf>
    <xf numFmtId="3" fontId="1" fillId="0" borderId="1" xfId="0" applyNumberFormat="1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1" xfId="2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6" fontId="1" fillId="0" borderId="4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1722 Marine SI tables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erical@%20$29.93/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topLeftCell="A3" zoomScaleNormal="100" workbookViewId="0">
      <selection activeCell="A4" sqref="A4"/>
    </sheetView>
  </sheetViews>
  <sheetFormatPr defaultColWidth="9.6640625" defaultRowHeight="15"/>
  <cols>
    <col min="1" max="1" width="17.33203125" style="21" customWidth="1"/>
    <col min="2" max="2" width="8.6640625" style="21" customWidth="1"/>
    <col min="3" max="4" width="6.5546875" style="36" customWidth="1"/>
    <col min="5" max="7" width="6.6640625" style="21" customWidth="1"/>
    <col min="8" max="8" width="5.6640625" style="21" customWidth="1"/>
    <col min="9" max="9" width="7.6640625" style="32" customWidth="1"/>
    <col min="10" max="10" width="8.6640625" style="21" customWidth="1"/>
    <col min="11" max="11" width="7.6640625" style="32" customWidth="1"/>
    <col min="12" max="12" width="9.6640625" style="21" customWidth="1"/>
    <col min="13" max="13" width="7.6640625" style="21" customWidth="1"/>
    <col min="14" max="14" width="5.6640625" style="39" customWidth="1"/>
    <col min="15" max="15" width="7.6640625" style="21" customWidth="1"/>
    <col min="16" max="16" width="0.109375" style="21" customWidth="1"/>
    <col min="17" max="17" width="9.6640625" style="21" customWidth="1"/>
    <col min="18" max="18" width="7.6640625" style="21" customWidth="1"/>
    <col min="19" max="20" width="11.6640625" style="21" customWidth="1"/>
    <col min="21" max="16384" width="9.6640625" style="21"/>
  </cols>
  <sheetData>
    <row r="1" spans="1:18">
      <c r="A1" s="122" t="s">
        <v>74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20"/>
      <c r="Q1" s="20"/>
      <c r="R1" s="20"/>
    </row>
    <row r="2" spans="1:18">
      <c r="A2" s="122" t="s">
        <v>75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20"/>
      <c r="Q2" s="20"/>
      <c r="R2" s="20"/>
    </row>
    <row r="3" spans="1:18" ht="18" customHeight="1">
      <c r="A3" s="20"/>
      <c r="B3" s="123" t="s">
        <v>34</v>
      </c>
      <c r="C3" s="124"/>
      <c r="D3" s="124"/>
      <c r="E3" s="124"/>
      <c r="F3" s="124"/>
      <c r="G3" s="124"/>
      <c r="H3" s="124"/>
      <c r="I3" s="124"/>
      <c r="J3" s="124"/>
      <c r="K3" s="124"/>
      <c r="L3" s="125"/>
      <c r="M3" s="65" t="s">
        <v>2</v>
      </c>
      <c r="N3" s="66"/>
      <c r="O3" s="67"/>
      <c r="P3" s="20"/>
      <c r="Q3" s="20"/>
      <c r="R3" s="20"/>
    </row>
    <row r="4" spans="1:18" ht="35.1" customHeight="1">
      <c r="A4" s="29" t="s">
        <v>3</v>
      </c>
      <c r="B4" s="45" t="s">
        <v>125</v>
      </c>
      <c r="C4" s="40" t="s">
        <v>126</v>
      </c>
      <c r="D4" s="40" t="s">
        <v>127</v>
      </c>
      <c r="E4" s="41" t="s">
        <v>128</v>
      </c>
      <c r="F4" s="41" t="s">
        <v>129</v>
      </c>
      <c r="G4" s="84" t="s">
        <v>130</v>
      </c>
      <c r="H4" s="40" t="s">
        <v>4</v>
      </c>
      <c r="I4" s="42" t="s">
        <v>76</v>
      </c>
      <c r="J4" s="40" t="s">
        <v>6</v>
      </c>
      <c r="K4" s="43" t="s">
        <v>7</v>
      </c>
      <c r="L4" s="40" t="s">
        <v>77</v>
      </c>
      <c r="M4" s="40" t="s">
        <v>9</v>
      </c>
      <c r="N4" s="44" t="s">
        <v>78</v>
      </c>
      <c r="O4" s="40" t="s">
        <v>79</v>
      </c>
      <c r="P4" s="20"/>
      <c r="Q4" s="20"/>
      <c r="R4" s="20"/>
    </row>
    <row r="5" spans="1:18" ht="24.95" customHeight="1">
      <c r="A5" s="29" t="s">
        <v>80</v>
      </c>
      <c r="B5" s="46">
        <v>16</v>
      </c>
      <c r="C5" s="46">
        <v>9</v>
      </c>
      <c r="D5" s="46">
        <v>10</v>
      </c>
      <c r="E5" s="46">
        <v>4</v>
      </c>
      <c r="F5" s="46">
        <v>0</v>
      </c>
      <c r="G5" s="46">
        <v>1</v>
      </c>
      <c r="H5" s="46">
        <f>B5+C5+D5+E5+F5+G5</f>
        <v>40</v>
      </c>
      <c r="I5" s="46">
        <f>(B5*72.43)+(C5*110.29)+(D5*114.77)+(E5*50.63)+(F5*42.86)+(G5*29.93)</f>
        <v>3531.6400000000003</v>
      </c>
      <c r="J5" s="46">
        <v>0</v>
      </c>
      <c r="K5" s="46">
        <v>0</v>
      </c>
      <c r="L5" s="117">
        <v>1</v>
      </c>
      <c r="M5" s="46">
        <v>12</v>
      </c>
      <c r="N5" s="46">
        <f>$H$5*$L$5*$M$5</f>
        <v>480</v>
      </c>
      <c r="O5" s="46">
        <f>($I$5+$J$5+$K$5)*$L$5*$M$5</f>
        <v>42379.680000000008</v>
      </c>
      <c r="P5" s="20"/>
      <c r="Q5" s="20"/>
    </row>
    <row r="6" spans="1:18" ht="18" customHeight="1">
      <c r="A6" s="29" t="s">
        <v>81</v>
      </c>
      <c r="B6" s="46">
        <v>3</v>
      </c>
      <c r="C6" s="46">
        <v>1</v>
      </c>
      <c r="D6" s="46">
        <v>0</v>
      </c>
      <c r="E6" s="46">
        <v>0</v>
      </c>
      <c r="F6" s="46">
        <v>0</v>
      </c>
      <c r="G6" s="46">
        <v>1</v>
      </c>
      <c r="H6" s="46">
        <f t="shared" ref="H6:H17" si="0">B6+C6+D6+E6+F6+G6</f>
        <v>5</v>
      </c>
      <c r="I6" s="46">
        <f t="shared" ref="I6:I17" si="1">(B6*72.43)+(C6*110.29)+(D6*114.77)+(E6*50.63)+(F6*42.86)+(G6*29.93)</f>
        <v>357.51000000000005</v>
      </c>
      <c r="J6" s="46">
        <v>0</v>
      </c>
      <c r="K6" s="46">
        <v>0</v>
      </c>
      <c r="L6" s="117">
        <v>1</v>
      </c>
      <c r="M6" s="46">
        <v>12</v>
      </c>
      <c r="N6" s="46">
        <f>$H$6*$L$6*$M$6</f>
        <v>60</v>
      </c>
      <c r="O6" s="46">
        <f>($I$6+$J$6+$K$6)*$L$6*$M$6</f>
        <v>4290.1200000000008</v>
      </c>
      <c r="P6" s="20"/>
      <c r="Q6" s="20"/>
    </row>
    <row r="7" spans="1:18" ht="23.1" customHeight="1">
      <c r="A7" s="29" t="s">
        <v>82</v>
      </c>
      <c r="B7" s="46">
        <v>12</v>
      </c>
      <c r="C7" s="46">
        <v>5</v>
      </c>
      <c r="D7" s="46">
        <v>0</v>
      </c>
      <c r="E7" s="46">
        <v>38</v>
      </c>
      <c r="F7" s="46">
        <v>2</v>
      </c>
      <c r="G7" s="46">
        <v>3</v>
      </c>
      <c r="H7" s="46">
        <f t="shared" si="0"/>
        <v>60</v>
      </c>
      <c r="I7" s="46">
        <f t="shared" si="1"/>
        <v>3520.06</v>
      </c>
      <c r="J7" s="46">
        <v>0</v>
      </c>
      <c r="K7" s="46">
        <v>0</v>
      </c>
      <c r="L7" s="117">
        <f>12/12</f>
        <v>1</v>
      </c>
      <c r="M7" s="46">
        <v>12</v>
      </c>
      <c r="N7" s="46">
        <f>$H$7*$L$7*$M$7</f>
        <v>720</v>
      </c>
      <c r="O7" s="46">
        <f>($I$7+$J$7+$K$7)*$L$7*$M$7</f>
        <v>42240.72</v>
      </c>
      <c r="P7" s="20"/>
      <c r="Q7" s="20"/>
    </row>
    <row r="8" spans="1:18" ht="24" customHeight="1">
      <c r="A8" s="29" t="s">
        <v>83</v>
      </c>
      <c r="B8" s="46">
        <v>30</v>
      </c>
      <c r="C8" s="46">
        <v>14</v>
      </c>
      <c r="D8" s="46">
        <v>0</v>
      </c>
      <c r="E8" s="46">
        <v>22</v>
      </c>
      <c r="F8" s="46">
        <v>2</v>
      </c>
      <c r="G8" s="46">
        <v>14</v>
      </c>
      <c r="H8" s="46">
        <f t="shared" si="0"/>
        <v>82</v>
      </c>
      <c r="I8" s="46">
        <f t="shared" si="1"/>
        <v>5335.5599999999995</v>
      </c>
      <c r="J8" s="46">
        <v>0</v>
      </c>
      <c r="K8" s="46">
        <v>0</v>
      </c>
      <c r="L8" s="117">
        <f>12/12</f>
        <v>1</v>
      </c>
      <c r="M8" s="46">
        <v>12</v>
      </c>
      <c r="N8" s="46">
        <f>$H$8*$L$8*$M$8</f>
        <v>984</v>
      </c>
      <c r="O8" s="46">
        <f>($I$8+$J$8+$K$8)*$L$8*$M$8</f>
        <v>64026.719999999994</v>
      </c>
      <c r="P8" s="20"/>
      <c r="Q8" s="20"/>
    </row>
    <row r="9" spans="1:18" ht="17.25" customHeight="1">
      <c r="A9" s="29" t="s">
        <v>84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f t="shared" si="0"/>
        <v>0</v>
      </c>
      <c r="I9" s="46">
        <f t="shared" si="1"/>
        <v>0</v>
      </c>
      <c r="J9" s="46">
        <v>0</v>
      </c>
      <c r="K9" s="46">
        <v>6224</v>
      </c>
      <c r="L9" s="117">
        <v>1</v>
      </c>
      <c r="M9" s="46">
        <v>8</v>
      </c>
      <c r="N9" s="46">
        <f>$H$9*$L$9*$M$9</f>
        <v>0</v>
      </c>
      <c r="O9" s="46">
        <f>($I$9+$J$9+$K$9)*$L$9*$M$9</f>
        <v>49792</v>
      </c>
      <c r="P9" s="20"/>
      <c r="Q9" s="20"/>
    </row>
    <row r="10" spans="1:18" ht="18" customHeight="1">
      <c r="A10" s="29" t="s">
        <v>85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f t="shared" si="0"/>
        <v>0</v>
      </c>
      <c r="I10" s="46">
        <f t="shared" si="1"/>
        <v>0</v>
      </c>
      <c r="J10" s="46">
        <v>0</v>
      </c>
      <c r="K10" s="46">
        <v>500</v>
      </c>
      <c r="L10" s="117">
        <f>12/12</f>
        <v>1</v>
      </c>
      <c r="M10" s="46">
        <v>4</v>
      </c>
      <c r="N10" s="46">
        <f>$H$10*$L$10*$M$10</f>
        <v>0</v>
      </c>
      <c r="O10" s="46">
        <f>($I$10+$J$10+$K$10)*$L$10*$M$10</f>
        <v>2000</v>
      </c>
      <c r="P10" s="20"/>
      <c r="Q10" s="20"/>
    </row>
    <row r="11" spans="1:18" ht="35.1" customHeight="1">
      <c r="A11" s="29" t="s">
        <v>86</v>
      </c>
      <c r="B11" s="46">
        <v>11</v>
      </c>
      <c r="C11" s="46">
        <v>6</v>
      </c>
      <c r="D11" s="46">
        <v>1</v>
      </c>
      <c r="E11" s="46">
        <v>0</v>
      </c>
      <c r="F11" s="46">
        <v>0</v>
      </c>
      <c r="G11" s="46">
        <v>1</v>
      </c>
      <c r="H11" s="46">
        <f t="shared" si="0"/>
        <v>19</v>
      </c>
      <c r="I11" s="46">
        <f t="shared" si="1"/>
        <v>1603.17</v>
      </c>
      <c r="J11" s="46">
        <v>0</v>
      </c>
      <c r="K11" s="46">
        <v>0</v>
      </c>
      <c r="L11" s="117">
        <f>12/12</f>
        <v>1</v>
      </c>
      <c r="M11" s="46">
        <v>12</v>
      </c>
      <c r="N11" s="46">
        <f>$H$11*$L$11*$M$11</f>
        <v>228</v>
      </c>
      <c r="O11" s="46">
        <f>($I$11+$J$11+$K$11)*$L$11*$M$11</f>
        <v>19238.04</v>
      </c>
      <c r="P11" s="20"/>
      <c r="Q11" s="20"/>
    </row>
    <row r="12" spans="1:18" ht="35.1" customHeight="1">
      <c r="A12" s="29" t="s">
        <v>87</v>
      </c>
      <c r="B12" s="46">
        <v>14</v>
      </c>
      <c r="C12" s="46">
        <v>0.5</v>
      </c>
      <c r="D12" s="46">
        <v>0</v>
      </c>
      <c r="E12" s="46">
        <v>0</v>
      </c>
      <c r="F12" s="46">
        <v>0</v>
      </c>
      <c r="G12" s="46">
        <v>4</v>
      </c>
      <c r="H12" s="46">
        <f t="shared" si="0"/>
        <v>18.5</v>
      </c>
      <c r="I12" s="46">
        <f t="shared" si="1"/>
        <v>1188.8850000000002</v>
      </c>
      <c r="J12" s="46">
        <v>0</v>
      </c>
      <c r="K12" s="46">
        <v>4</v>
      </c>
      <c r="L12" s="117">
        <f>12/12</f>
        <v>1</v>
      </c>
      <c r="M12" s="46">
        <v>12</v>
      </c>
      <c r="N12" s="46">
        <f>$H$12*$L$12*$M$12</f>
        <v>222</v>
      </c>
      <c r="O12" s="46">
        <f>($I$12+$J$12+$K$12)*$L$12*$M$12</f>
        <v>14314.620000000003</v>
      </c>
      <c r="P12" s="20"/>
      <c r="Q12" s="20"/>
    </row>
    <row r="13" spans="1:18" ht="23.1" customHeight="1">
      <c r="A13" s="29" t="s">
        <v>88</v>
      </c>
      <c r="B13" s="46">
        <v>1</v>
      </c>
      <c r="C13" s="46">
        <v>0</v>
      </c>
      <c r="D13" s="46">
        <v>0</v>
      </c>
      <c r="E13" s="46">
        <v>0</v>
      </c>
      <c r="F13" s="46">
        <v>0</v>
      </c>
      <c r="G13" s="46">
        <v>2</v>
      </c>
      <c r="H13" s="46">
        <f t="shared" si="0"/>
        <v>3</v>
      </c>
      <c r="I13" s="46">
        <f t="shared" si="1"/>
        <v>132.29000000000002</v>
      </c>
      <c r="J13" s="46">
        <v>0</v>
      </c>
      <c r="K13" s="46">
        <v>2</v>
      </c>
      <c r="L13" s="117">
        <f>99/12</f>
        <v>8.25</v>
      </c>
      <c r="M13" s="46">
        <v>12</v>
      </c>
      <c r="N13" s="46">
        <f>$H$13*$L$13*$M$13</f>
        <v>297</v>
      </c>
      <c r="O13" s="46">
        <f>($I$13+$J$13+$K$13)*$L$13*$M$13</f>
        <v>13294.710000000003</v>
      </c>
      <c r="P13" s="20"/>
      <c r="Q13" s="20"/>
    </row>
    <row r="14" spans="1:18" ht="17.100000000000001" customHeight="1">
      <c r="A14" s="29" t="s">
        <v>89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f t="shared" si="0"/>
        <v>0</v>
      </c>
      <c r="I14" s="46">
        <f t="shared" si="1"/>
        <v>0</v>
      </c>
      <c r="J14" s="46">
        <v>0</v>
      </c>
      <c r="K14" s="121">
        <v>826</v>
      </c>
      <c r="L14" s="117">
        <f>111/12</f>
        <v>9.25</v>
      </c>
      <c r="M14" s="46">
        <v>12</v>
      </c>
      <c r="N14" s="46">
        <f>$H$14*$L$14*$M$14</f>
        <v>0</v>
      </c>
      <c r="O14" s="46">
        <f>($I$14+$J$14+$K$14)*$L$14*$M$14</f>
        <v>91686</v>
      </c>
      <c r="P14" s="20"/>
      <c r="Q14" s="20"/>
    </row>
    <row r="15" spans="1:18" ht="24" customHeight="1">
      <c r="A15" s="29" t="s">
        <v>90</v>
      </c>
      <c r="B15" s="46">
        <v>7</v>
      </c>
      <c r="C15" s="46">
        <v>5</v>
      </c>
      <c r="D15" s="46">
        <v>1</v>
      </c>
      <c r="E15" s="46">
        <v>3</v>
      </c>
      <c r="F15" s="46">
        <v>0</v>
      </c>
      <c r="G15" s="46">
        <v>2</v>
      </c>
      <c r="H15" s="46">
        <f t="shared" si="0"/>
        <v>18</v>
      </c>
      <c r="I15" s="46">
        <f t="shared" si="1"/>
        <v>1384.98</v>
      </c>
      <c r="J15" s="46">
        <v>0</v>
      </c>
      <c r="K15" s="46">
        <v>6</v>
      </c>
      <c r="L15" s="117">
        <f>30/6</f>
        <v>5</v>
      </c>
      <c r="M15" s="46">
        <v>6</v>
      </c>
      <c r="N15" s="46">
        <f>$H$15*$L$15*$M$15</f>
        <v>540</v>
      </c>
      <c r="O15" s="46">
        <f>($I$15+$J$15+$K$15)*$L$15*$M$15</f>
        <v>41729.399999999994</v>
      </c>
      <c r="P15" s="8"/>
      <c r="Q15" s="20"/>
    </row>
    <row r="16" spans="1:18" ht="24" customHeight="1">
      <c r="A16" s="29" t="s">
        <v>22</v>
      </c>
      <c r="B16" s="46">
        <v>3</v>
      </c>
      <c r="C16" s="46">
        <v>1</v>
      </c>
      <c r="D16" s="46">
        <v>1</v>
      </c>
      <c r="E16" s="46">
        <v>0</v>
      </c>
      <c r="F16" s="46">
        <v>0</v>
      </c>
      <c r="G16" s="46">
        <v>7</v>
      </c>
      <c r="H16" s="46">
        <f t="shared" si="0"/>
        <v>12</v>
      </c>
      <c r="I16" s="46">
        <f t="shared" si="1"/>
        <v>651.86</v>
      </c>
      <c r="J16" s="46">
        <v>0</v>
      </c>
      <c r="K16" s="46">
        <v>5</v>
      </c>
      <c r="L16" s="117">
        <f>111/12</f>
        <v>9.25</v>
      </c>
      <c r="M16" s="46">
        <v>12</v>
      </c>
      <c r="N16" s="46">
        <f>$H$16*$L$16*$M$16</f>
        <v>1332</v>
      </c>
      <c r="O16" s="46">
        <f>($I$16+$J$16+$K$16)*$L$16*$M$16</f>
        <v>72911.459999999992</v>
      </c>
      <c r="P16" s="8"/>
      <c r="Q16" s="20"/>
    </row>
    <row r="17" spans="1:20" ht="39.75" customHeight="1" thickBot="1">
      <c r="A17" s="47" t="s">
        <v>91</v>
      </c>
      <c r="B17" s="48">
        <v>12</v>
      </c>
      <c r="C17" s="49">
        <v>2</v>
      </c>
      <c r="D17" s="49">
        <v>1</v>
      </c>
      <c r="E17" s="49">
        <v>0</v>
      </c>
      <c r="F17" s="49">
        <v>0</v>
      </c>
      <c r="G17" s="49">
        <v>2</v>
      </c>
      <c r="H17" s="49">
        <f t="shared" si="0"/>
        <v>17</v>
      </c>
      <c r="I17" s="48">
        <f t="shared" si="1"/>
        <v>1264.3699999999999</v>
      </c>
      <c r="J17" s="49">
        <v>0</v>
      </c>
      <c r="K17" s="49">
        <v>2</v>
      </c>
      <c r="L17" s="118">
        <v>1</v>
      </c>
      <c r="M17" s="49">
        <v>12</v>
      </c>
      <c r="N17" s="49">
        <f>$H$17*$L$17*$M$17</f>
        <v>204</v>
      </c>
      <c r="O17" s="49">
        <f>($I$17+$J$17+$K$17)*$L$17*$M$17</f>
        <v>15196.439999999999</v>
      </c>
      <c r="P17" s="8"/>
      <c r="Q17" s="20"/>
    </row>
    <row r="18" spans="1:20" s="28" customFormat="1" ht="14.25" customHeight="1" thickTop="1">
      <c r="A18" s="23"/>
      <c r="B18" s="24"/>
      <c r="C18" s="25"/>
      <c r="D18" s="25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6"/>
      <c r="Q18" s="27"/>
    </row>
    <row r="19" spans="1:20" ht="18" customHeight="1">
      <c r="A19" s="29" t="s">
        <v>92</v>
      </c>
      <c r="B19" s="30">
        <f t="shared" ref="B19:H19" si="2">SUM(B5:B18)</f>
        <v>109</v>
      </c>
      <c r="C19" s="30">
        <f t="shared" si="2"/>
        <v>43.5</v>
      </c>
      <c r="D19" s="30">
        <f t="shared" si="2"/>
        <v>14</v>
      </c>
      <c r="E19" s="30">
        <f t="shared" si="2"/>
        <v>67</v>
      </c>
      <c r="F19" s="30">
        <f t="shared" si="2"/>
        <v>4</v>
      </c>
      <c r="G19" s="30">
        <f t="shared" si="2"/>
        <v>37</v>
      </c>
      <c r="H19" s="30">
        <f t="shared" si="2"/>
        <v>274.5</v>
      </c>
      <c r="I19" s="30">
        <f>SUM(I5:I18)</f>
        <v>18970.325000000001</v>
      </c>
      <c r="J19" s="30">
        <f>SUM(J5:J17)</f>
        <v>0</v>
      </c>
      <c r="K19" s="30" t="s">
        <v>24</v>
      </c>
      <c r="L19" s="30" t="s">
        <v>24</v>
      </c>
      <c r="M19" s="30">
        <v>12</v>
      </c>
      <c r="N19" s="30" t="s">
        <v>25</v>
      </c>
      <c r="O19" s="31" t="s">
        <v>25</v>
      </c>
      <c r="P19" s="27"/>
      <c r="Q19" s="20"/>
      <c r="S19" s="32"/>
      <c r="T19" s="32"/>
    </row>
    <row r="20" spans="1:20" ht="24.95" customHeight="1">
      <c r="A20" s="29" t="s">
        <v>26</v>
      </c>
      <c r="B20" s="33" t="s">
        <v>25</v>
      </c>
      <c r="C20" s="33" t="s">
        <v>25</v>
      </c>
      <c r="D20" s="33" t="s">
        <v>25</v>
      </c>
      <c r="E20" s="33" t="s">
        <v>25</v>
      </c>
      <c r="F20" s="33" t="s">
        <v>25</v>
      </c>
      <c r="G20" s="33" t="s">
        <v>25</v>
      </c>
      <c r="H20" s="33" t="s">
        <v>25</v>
      </c>
      <c r="I20" s="34">
        <f>SUMPRODUCT(I5:I17,L5:L17,M5:M17)</f>
        <v>328616.90999999997</v>
      </c>
      <c r="J20" s="33">
        <v>0</v>
      </c>
      <c r="K20" s="34">
        <f>SUMPRODUCT(K5:K17,L5:L17,M5:M17)</f>
        <v>144483</v>
      </c>
      <c r="L20" s="33" t="s">
        <v>24</v>
      </c>
      <c r="M20" s="33">
        <v>12</v>
      </c>
      <c r="N20" s="33">
        <f>SUM(N5:N17)</f>
        <v>5067</v>
      </c>
      <c r="O20" s="34">
        <f>+SUM(O5:O17)</f>
        <v>473099.91</v>
      </c>
      <c r="P20" s="27"/>
      <c r="Q20" s="20"/>
      <c r="S20" s="32"/>
      <c r="T20" s="32"/>
    </row>
    <row r="21" spans="1:20" ht="12.95" customHeight="1">
      <c r="A21" s="22"/>
      <c r="B21" s="35"/>
      <c r="E21" s="35"/>
      <c r="F21" s="35"/>
      <c r="G21" s="35"/>
      <c r="H21" s="37"/>
      <c r="I21" s="26"/>
      <c r="J21" s="35"/>
      <c r="K21" s="26"/>
      <c r="L21" s="35"/>
      <c r="M21" s="35"/>
      <c r="N21" s="38"/>
      <c r="O21" s="26"/>
      <c r="P21" s="20"/>
      <c r="Q21" s="20"/>
      <c r="R21" s="20"/>
    </row>
    <row r="22" spans="1:20">
      <c r="A22" s="20" t="s">
        <v>93</v>
      </c>
      <c r="B22" s="20"/>
      <c r="C22" s="14" t="s">
        <v>94</v>
      </c>
      <c r="E22" s="20"/>
      <c r="F22" s="20"/>
      <c r="G22" s="20"/>
      <c r="H22" s="18" t="s">
        <v>29</v>
      </c>
      <c r="I22" s="10" t="s">
        <v>30</v>
      </c>
      <c r="J22" s="10"/>
      <c r="L22" s="20"/>
      <c r="M22" s="20"/>
      <c r="N22" s="13"/>
      <c r="O22" s="20"/>
      <c r="P22" s="20"/>
      <c r="Q22" s="20"/>
      <c r="R22" s="20"/>
    </row>
    <row r="23" spans="1:20">
      <c r="A23" s="20" t="s">
        <v>95</v>
      </c>
      <c r="B23" s="20"/>
      <c r="E23" s="20"/>
      <c r="F23" s="20"/>
      <c r="G23" s="20"/>
      <c r="H23" s="18" t="s">
        <v>31</v>
      </c>
      <c r="I23" s="16">
        <f>N20/M20</f>
        <v>422.25</v>
      </c>
      <c r="J23" s="10" t="s">
        <v>32</v>
      </c>
      <c r="K23" s="14"/>
      <c r="L23" s="20"/>
      <c r="M23" s="20"/>
      <c r="N23" s="13"/>
      <c r="O23" s="20"/>
      <c r="P23" s="20"/>
      <c r="Q23" s="20"/>
      <c r="R23" s="20"/>
    </row>
  </sheetData>
  <mergeCells count="3">
    <mergeCell ref="A1:O1"/>
    <mergeCell ref="A2:O2"/>
    <mergeCell ref="B3:L3"/>
  </mergeCells>
  <phoneticPr fontId="1" type="noConversion"/>
  <hyperlinks>
    <hyperlink ref="G4" r:id="rId1"/>
  </hyperlinks>
  <printOptions horizontalCentered="1" verticalCentered="1"/>
  <pageMargins left="0.75" right="0.75" top="1" bottom="1" header="0.5" footer="0.5"/>
  <pageSetup scale="84" orientation="landscape" verticalDpi="300" r:id="rId2"/>
  <headerFooter alignWithMargins="0"/>
  <ignoredErrors>
    <ignoredError sqref="L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topLeftCell="J1" workbookViewId="0">
      <selection activeCell="N20" sqref="N20"/>
    </sheetView>
  </sheetViews>
  <sheetFormatPr defaultColWidth="9.77734375" defaultRowHeight="15"/>
  <cols>
    <col min="1" max="1" width="17" customWidth="1"/>
    <col min="2" max="2" width="6.44140625" customWidth="1"/>
    <col min="3" max="3" width="7.109375" customWidth="1"/>
    <col min="4" max="4" width="6.5546875" customWidth="1"/>
    <col min="5" max="5" width="5.88671875" customWidth="1"/>
    <col min="6" max="6" width="7" customWidth="1"/>
    <col min="7" max="7" width="7.109375" customWidth="1"/>
    <col min="8" max="8" width="6.44140625" customWidth="1"/>
    <col min="9" max="9" width="6.21875" customWidth="1"/>
    <col min="10" max="10" width="8.33203125" style="2" customWidth="1"/>
    <col min="11" max="11" width="7.109375" customWidth="1"/>
    <col min="12" max="12" width="7.21875" style="2" customWidth="1"/>
    <col min="13" max="13" width="6.6640625" customWidth="1"/>
    <col min="14" max="14" width="7.109375" customWidth="1"/>
    <col min="15" max="15" width="7.21875" style="1" customWidth="1"/>
    <col min="16" max="16" width="7.44140625" customWidth="1"/>
    <col min="17" max="17" width="2.109375" customWidth="1"/>
    <col min="18" max="18" width="10.21875" customWidth="1"/>
    <col min="19" max="19" width="8.21875" customWidth="1"/>
    <col min="20" max="21" width="12.33203125" customWidth="1"/>
    <col min="22" max="254" width="10.21875" customWidth="1"/>
  </cols>
  <sheetData>
    <row r="1" spans="1:19">
      <c r="A1" s="5" t="s">
        <v>0</v>
      </c>
      <c r="B1" s="19"/>
      <c r="C1" s="5"/>
      <c r="D1" s="5"/>
      <c r="E1" s="5"/>
      <c r="F1" s="5"/>
      <c r="G1" s="5"/>
      <c r="H1" s="5"/>
      <c r="I1" s="5"/>
      <c r="J1" s="4"/>
      <c r="K1" s="5"/>
      <c r="L1" s="4"/>
      <c r="M1" s="5"/>
      <c r="N1" s="5"/>
      <c r="O1" s="3"/>
      <c r="P1" s="5"/>
      <c r="Q1" s="10"/>
      <c r="R1" s="10"/>
      <c r="S1" s="10"/>
    </row>
    <row r="2" spans="1:19">
      <c r="A2" s="5" t="s">
        <v>96</v>
      </c>
      <c r="B2" s="5"/>
      <c r="C2" s="5"/>
      <c r="D2" s="5"/>
      <c r="E2" s="5"/>
      <c r="F2" s="5"/>
      <c r="G2" s="5"/>
      <c r="H2" s="5"/>
      <c r="I2" s="5"/>
      <c r="J2" s="4"/>
      <c r="K2" s="5"/>
      <c r="L2" s="4"/>
      <c r="M2" s="5"/>
      <c r="N2" s="5"/>
      <c r="O2" s="3"/>
      <c r="P2" s="5"/>
      <c r="Q2" s="10"/>
      <c r="R2" s="10"/>
      <c r="S2" s="10"/>
    </row>
    <row r="3" spans="1:19">
      <c r="A3" s="10"/>
      <c r="B3" s="126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8"/>
      <c r="M3" s="126" t="s">
        <v>2</v>
      </c>
      <c r="N3" s="127"/>
      <c r="O3" s="127"/>
      <c r="P3" s="128"/>
      <c r="Q3" s="10"/>
      <c r="R3" s="10"/>
      <c r="S3" s="10"/>
    </row>
    <row r="4" spans="1:19" ht="45">
      <c r="A4" s="52" t="s">
        <v>3</v>
      </c>
      <c r="B4" s="85" t="s">
        <v>117</v>
      </c>
      <c r="C4" s="86" t="s">
        <v>118</v>
      </c>
      <c r="D4" s="86" t="s">
        <v>119</v>
      </c>
      <c r="E4" s="87" t="s">
        <v>122</v>
      </c>
      <c r="F4" s="86" t="s">
        <v>120</v>
      </c>
      <c r="G4" s="88" t="s">
        <v>131</v>
      </c>
      <c r="H4" s="86" t="s">
        <v>121</v>
      </c>
      <c r="I4" s="88" t="s">
        <v>123</v>
      </c>
      <c r="J4" s="88" t="s">
        <v>5</v>
      </c>
      <c r="K4" s="88" t="s">
        <v>6</v>
      </c>
      <c r="L4" s="88" t="s">
        <v>7</v>
      </c>
      <c r="M4" s="88" t="s">
        <v>8</v>
      </c>
      <c r="N4" s="88" t="s">
        <v>132</v>
      </c>
      <c r="O4" s="88" t="s">
        <v>10</v>
      </c>
      <c r="P4" s="88" t="s">
        <v>11</v>
      </c>
      <c r="Q4" s="10"/>
    </row>
    <row r="5" spans="1:19" ht="22.5">
      <c r="A5" s="52" t="s">
        <v>12</v>
      </c>
      <c r="B5" s="51">
        <v>57</v>
      </c>
      <c r="C5" s="30">
        <v>5</v>
      </c>
      <c r="D5" s="30">
        <v>8</v>
      </c>
      <c r="E5" s="30">
        <v>0</v>
      </c>
      <c r="F5" s="30">
        <v>0</v>
      </c>
      <c r="G5" s="30">
        <v>0</v>
      </c>
      <c r="H5" s="30">
        <v>0</v>
      </c>
      <c r="I5" s="30">
        <f t="shared" ref="I5:I16" si="0">B5+C5+D5+E5+F5+G5+H5</f>
        <v>70</v>
      </c>
      <c r="J5" s="30">
        <f t="shared" ref="J5:J16" si="1">(B5*72.43)+(C5*110.29)+(D5*114.77)+(E5*29.93)+(F5*50.63)+(G5*41.01)+(H5*42.86)</f>
        <v>5598.12</v>
      </c>
      <c r="K5" s="30">
        <v>0</v>
      </c>
      <c r="L5" s="30">
        <v>0</v>
      </c>
      <c r="M5" s="30">
        <v>1</v>
      </c>
      <c r="N5" s="30">
        <v>12</v>
      </c>
      <c r="O5" s="30">
        <f t="shared" ref="O5:O16" si="2">I5*M5*N5</f>
        <v>840</v>
      </c>
      <c r="P5" s="30">
        <f t="shared" ref="P5:P16" si="3">(J5+K5+L5)*M5*N5</f>
        <v>67177.440000000002</v>
      </c>
      <c r="Q5" s="10"/>
    </row>
    <row r="6" spans="1:19">
      <c r="A6" s="52" t="s">
        <v>13</v>
      </c>
      <c r="B6" s="51">
        <v>8</v>
      </c>
      <c r="C6" s="30">
        <v>0</v>
      </c>
      <c r="D6" s="30">
        <v>0</v>
      </c>
      <c r="E6" s="30">
        <v>0</v>
      </c>
      <c r="F6" s="30">
        <v>1</v>
      </c>
      <c r="G6" s="30">
        <v>0</v>
      </c>
      <c r="H6" s="30">
        <v>0</v>
      </c>
      <c r="I6" s="30">
        <f t="shared" si="0"/>
        <v>9</v>
      </c>
      <c r="J6" s="30">
        <f t="shared" si="1"/>
        <v>630.07000000000005</v>
      </c>
      <c r="K6" s="30">
        <v>0</v>
      </c>
      <c r="L6" s="30">
        <v>30</v>
      </c>
      <c r="M6" s="30">
        <v>1</v>
      </c>
      <c r="N6" s="30">
        <v>12</v>
      </c>
      <c r="O6" s="30">
        <f t="shared" si="2"/>
        <v>108</v>
      </c>
      <c r="P6" s="30">
        <f t="shared" si="3"/>
        <v>7920.84</v>
      </c>
      <c r="Q6" s="10"/>
    </row>
    <row r="7" spans="1:19" ht="22.5">
      <c r="A7" s="52" t="s">
        <v>14</v>
      </c>
      <c r="B7" s="51">
        <v>11</v>
      </c>
      <c r="C7" s="30">
        <v>1</v>
      </c>
      <c r="D7" s="30">
        <v>0</v>
      </c>
      <c r="E7" s="30">
        <v>1</v>
      </c>
      <c r="F7" s="30">
        <v>0</v>
      </c>
      <c r="G7" s="30">
        <v>0</v>
      </c>
      <c r="H7" s="30">
        <v>0</v>
      </c>
      <c r="I7" s="30">
        <f t="shared" si="0"/>
        <v>13</v>
      </c>
      <c r="J7" s="30">
        <f t="shared" si="1"/>
        <v>936.94999999999993</v>
      </c>
      <c r="K7" s="30">
        <v>0</v>
      </c>
      <c r="L7" s="30">
        <v>5</v>
      </c>
      <c r="M7" s="30">
        <v>1</v>
      </c>
      <c r="N7" s="30">
        <v>12</v>
      </c>
      <c r="O7" s="30">
        <f t="shared" si="2"/>
        <v>156</v>
      </c>
      <c r="P7" s="30">
        <f t="shared" si="3"/>
        <v>11303.4</v>
      </c>
      <c r="Q7" s="10"/>
    </row>
    <row r="8" spans="1:19" ht="19.5" customHeight="1">
      <c r="A8" s="52" t="s">
        <v>100</v>
      </c>
      <c r="B8" s="51">
        <v>4</v>
      </c>
      <c r="C8" s="30">
        <v>0</v>
      </c>
      <c r="D8" s="30">
        <v>0</v>
      </c>
      <c r="E8" s="30">
        <v>0</v>
      </c>
      <c r="F8" s="30">
        <v>1</v>
      </c>
      <c r="G8" s="30">
        <v>1</v>
      </c>
      <c r="H8" s="30">
        <v>1</v>
      </c>
      <c r="I8" s="30">
        <f t="shared" si="0"/>
        <v>7</v>
      </c>
      <c r="J8" s="30">
        <f t="shared" si="1"/>
        <v>424.22</v>
      </c>
      <c r="K8" s="30">
        <v>0</v>
      </c>
      <c r="L8" s="30">
        <v>1</v>
      </c>
      <c r="M8" s="30">
        <v>1</v>
      </c>
      <c r="N8" s="30">
        <v>12</v>
      </c>
      <c r="O8" s="30">
        <f t="shared" si="2"/>
        <v>84</v>
      </c>
      <c r="P8" s="30">
        <f t="shared" si="3"/>
        <v>5102.6400000000003</v>
      </c>
      <c r="Q8" s="10"/>
    </row>
    <row r="9" spans="1:19">
      <c r="A9" s="52" t="s">
        <v>15</v>
      </c>
      <c r="B9" s="51">
        <v>1</v>
      </c>
      <c r="C9" s="30">
        <v>0</v>
      </c>
      <c r="D9" s="30">
        <v>0</v>
      </c>
      <c r="E9" s="30">
        <v>0</v>
      </c>
      <c r="F9" s="30">
        <v>6</v>
      </c>
      <c r="G9" s="30">
        <v>0</v>
      </c>
      <c r="H9" s="30">
        <v>0</v>
      </c>
      <c r="I9" s="30">
        <f t="shared" si="0"/>
        <v>7</v>
      </c>
      <c r="J9" s="30">
        <f t="shared" si="1"/>
        <v>376.21000000000004</v>
      </c>
      <c r="K9" s="30">
        <v>0</v>
      </c>
      <c r="L9" s="30">
        <v>0</v>
      </c>
      <c r="M9" s="30">
        <v>4</v>
      </c>
      <c r="N9" s="30">
        <v>12</v>
      </c>
      <c r="O9" s="30">
        <f t="shared" si="2"/>
        <v>336</v>
      </c>
      <c r="P9" s="30">
        <f t="shared" si="3"/>
        <v>18058.080000000002</v>
      </c>
      <c r="Q9" s="10"/>
    </row>
    <row r="10" spans="1:19">
      <c r="A10" s="52" t="s">
        <v>16</v>
      </c>
      <c r="B10" s="51">
        <v>8</v>
      </c>
      <c r="C10" s="30">
        <v>0</v>
      </c>
      <c r="D10" s="30">
        <v>0</v>
      </c>
      <c r="E10" s="30">
        <v>0</v>
      </c>
      <c r="F10" s="30">
        <v>12</v>
      </c>
      <c r="G10" s="30">
        <v>2</v>
      </c>
      <c r="H10" s="30">
        <v>0</v>
      </c>
      <c r="I10" s="30">
        <f t="shared" si="0"/>
        <v>22</v>
      </c>
      <c r="J10" s="30">
        <f t="shared" si="1"/>
        <v>1269.02</v>
      </c>
      <c r="K10" s="30">
        <v>0</v>
      </c>
      <c r="L10" s="30">
        <v>100</v>
      </c>
      <c r="M10" s="30">
        <v>16</v>
      </c>
      <c r="N10" s="30">
        <v>8</v>
      </c>
      <c r="O10" s="30">
        <f t="shared" si="2"/>
        <v>2816</v>
      </c>
      <c r="P10" s="30">
        <f t="shared" si="3"/>
        <v>175234.56</v>
      </c>
      <c r="Q10" s="10"/>
    </row>
    <row r="11" spans="1:19">
      <c r="A11" s="52" t="s">
        <v>17</v>
      </c>
      <c r="B11" s="51">
        <v>8</v>
      </c>
      <c r="C11" s="30">
        <v>0</v>
      </c>
      <c r="D11" s="30">
        <v>0</v>
      </c>
      <c r="E11" s="30">
        <v>1</v>
      </c>
      <c r="F11" s="30">
        <v>0</v>
      </c>
      <c r="G11" s="30">
        <v>0</v>
      </c>
      <c r="H11" s="30">
        <v>0</v>
      </c>
      <c r="I11" s="30">
        <f t="shared" si="0"/>
        <v>9</v>
      </c>
      <c r="J11" s="30">
        <f t="shared" si="1"/>
        <v>609.37</v>
      </c>
      <c r="K11" s="30">
        <v>0</v>
      </c>
      <c r="L11" s="30">
        <v>5</v>
      </c>
      <c r="M11" s="30">
        <v>4</v>
      </c>
      <c r="N11" s="30">
        <v>8</v>
      </c>
      <c r="O11" s="30">
        <f t="shared" si="2"/>
        <v>288</v>
      </c>
      <c r="P11" s="30">
        <f t="shared" si="3"/>
        <v>19659.84</v>
      </c>
      <c r="Q11" s="10"/>
    </row>
    <row r="12" spans="1:19" ht="33.75">
      <c r="A12" s="53" t="s">
        <v>18</v>
      </c>
      <c r="B12" s="51">
        <v>1</v>
      </c>
      <c r="C12" s="30">
        <v>0</v>
      </c>
      <c r="D12" s="30">
        <v>0</v>
      </c>
      <c r="E12" s="30">
        <v>0</v>
      </c>
      <c r="F12" s="30">
        <v>93</v>
      </c>
      <c r="G12" s="30">
        <v>0</v>
      </c>
      <c r="H12" s="30">
        <v>0</v>
      </c>
      <c r="I12" s="30">
        <f t="shared" si="0"/>
        <v>94</v>
      </c>
      <c r="J12" s="30">
        <f t="shared" si="1"/>
        <v>4781.0200000000004</v>
      </c>
      <c r="K12" s="30">
        <v>0</v>
      </c>
      <c r="L12" s="30">
        <v>5</v>
      </c>
      <c r="M12" s="30">
        <v>1</v>
      </c>
      <c r="N12" s="30">
        <v>8</v>
      </c>
      <c r="O12" s="30">
        <f t="shared" si="2"/>
        <v>752</v>
      </c>
      <c r="P12" s="30">
        <f t="shared" si="3"/>
        <v>38288.160000000003</v>
      </c>
      <c r="Q12" s="10"/>
    </row>
    <row r="13" spans="1:19">
      <c r="A13" s="52" t="s">
        <v>19</v>
      </c>
      <c r="B13" s="51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f t="shared" si="0"/>
        <v>0</v>
      </c>
      <c r="J13" s="30">
        <f t="shared" si="1"/>
        <v>0</v>
      </c>
      <c r="K13" s="30">
        <v>0</v>
      </c>
      <c r="L13" s="30">
        <v>1500</v>
      </c>
      <c r="M13" s="30">
        <v>4</v>
      </c>
      <c r="N13" s="30">
        <v>4</v>
      </c>
      <c r="O13" s="30">
        <f t="shared" si="2"/>
        <v>0</v>
      </c>
      <c r="P13" s="30">
        <f t="shared" si="3"/>
        <v>24000</v>
      </c>
    </row>
    <row r="14" spans="1:19">
      <c r="A14" s="52" t="s">
        <v>20</v>
      </c>
      <c r="B14" s="51">
        <v>2</v>
      </c>
      <c r="C14" s="30">
        <v>1</v>
      </c>
      <c r="D14" s="30">
        <v>2</v>
      </c>
      <c r="E14" s="30">
        <v>2</v>
      </c>
      <c r="F14" s="30">
        <v>0</v>
      </c>
      <c r="G14" s="30">
        <v>0</v>
      </c>
      <c r="H14" s="30">
        <v>0</v>
      </c>
      <c r="I14" s="30">
        <f t="shared" si="0"/>
        <v>7</v>
      </c>
      <c r="J14" s="30">
        <f t="shared" si="1"/>
        <v>544.55000000000007</v>
      </c>
      <c r="K14" s="30">
        <v>0</v>
      </c>
      <c r="L14" s="30">
        <v>20</v>
      </c>
      <c r="M14" s="30">
        <v>1</v>
      </c>
      <c r="N14" s="30">
        <v>4</v>
      </c>
      <c r="O14" s="30">
        <f t="shared" si="2"/>
        <v>28</v>
      </c>
      <c r="P14" s="30">
        <f t="shared" si="3"/>
        <v>2258.2000000000003</v>
      </c>
      <c r="Q14" s="10"/>
    </row>
    <row r="15" spans="1:19" ht="22.5">
      <c r="A15" s="52" t="s">
        <v>21</v>
      </c>
      <c r="B15" s="51">
        <v>8</v>
      </c>
      <c r="C15" s="30">
        <v>1</v>
      </c>
      <c r="D15" s="30">
        <v>1</v>
      </c>
      <c r="E15" s="30">
        <v>2</v>
      </c>
      <c r="F15" s="30">
        <v>0</v>
      </c>
      <c r="G15" s="30">
        <v>0</v>
      </c>
      <c r="H15" s="30">
        <v>0</v>
      </c>
      <c r="I15" s="30">
        <f t="shared" si="0"/>
        <v>12</v>
      </c>
      <c r="J15" s="30">
        <f t="shared" si="1"/>
        <v>864.36</v>
      </c>
      <c r="K15" s="30">
        <v>0</v>
      </c>
      <c r="L15" s="30">
        <v>5</v>
      </c>
      <c r="M15" s="30">
        <v>4</v>
      </c>
      <c r="N15" s="30">
        <v>12</v>
      </c>
      <c r="O15" s="30">
        <f t="shared" si="2"/>
        <v>576</v>
      </c>
      <c r="P15" s="30">
        <f t="shared" si="3"/>
        <v>41729.279999999999</v>
      </c>
      <c r="Q15" s="10"/>
    </row>
    <row r="16" spans="1:19" ht="23.25" thickBot="1">
      <c r="A16" s="52" t="s">
        <v>22</v>
      </c>
      <c r="B16" s="49">
        <v>2</v>
      </c>
      <c r="C16" s="48">
        <v>0</v>
      </c>
      <c r="D16" s="48">
        <v>0</v>
      </c>
      <c r="E16" s="48">
        <v>3</v>
      </c>
      <c r="F16" s="48">
        <v>0</v>
      </c>
      <c r="G16" s="48">
        <v>1</v>
      </c>
      <c r="H16" s="48">
        <v>0</v>
      </c>
      <c r="I16" s="48">
        <f t="shared" si="0"/>
        <v>6</v>
      </c>
      <c r="J16" s="30">
        <f t="shared" si="1"/>
        <v>275.66000000000003</v>
      </c>
      <c r="K16" s="48">
        <v>0</v>
      </c>
      <c r="L16" s="48">
        <v>2</v>
      </c>
      <c r="M16" s="48">
        <v>4</v>
      </c>
      <c r="N16" s="48">
        <v>12</v>
      </c>
      <c r="O16" s="48">
        <f t="shared" si="2"/>
        <v>288</v>
      </c>
      <c r="P16" s="48">
        <f t="shared" si="3"/>
        <v>13327.68</v>
      </c>
      <c r="Q16" s="10"/>
    </row>
    <row r="17" spans="1:255" ht="15.75" thickTop="1">
      <c r="A17" s="5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0"/>
    </row>
    <row r="18" spans="1:255">
      <c r="A18" s="52" t="s">
        <v>23</v>
      </c>
      <c r="B18" s="51">
        <f t="shared" ref="B18:H18" si="4">(SUM(B$5:B$16))</f>
        <v>110</v>
      </c>
      <c r="C18" s="50">
        <f t="shared" si="4"/>
        <v>8</v>
      </c>
      <c r="D18" s="50">
        <f t="shared" si="4"/>
        <v>11</v>
      </c>
      <c r="E18" s="50">
        <f t="shared" si="4"/>
        <v>9</v>
      </c>
      <c r="F18" s="50">
        <f t="shared" si="4"/>
        <v>113</v>
      </c>
      <c r="G18" s="50">
        <f t="shared" si="4"/>
        <v>4</v>
      </c>
      <c r="H18" s="50">
        <f t="shared" si="4"/>
        <v>1</v>
      </c>
      <c r="I18" s="30">
        <f>SUM(I5:I16)</f>
        <v>256</v>
      </c>
      <c r="J18" s="30">
        <f>SUM(J5:J16)</f>
        <v>16309.550000000001</v>
      </c>
      <c r="K18" s="50">
        <f>SUM(K5:K16)</f>
        <v>0</v>
      </c>
      <c r="L18" s="54" t="s">
        <v>24</v>
      </c>
      <c r="M18" s="30" t="s">
        <v>24</v>
      </c>
      <c r="N18" s="30" t="s">
        <v>25</v>
      </c>
      <c r="O18" s="30" t="s">
        <v>25</v>
      </c>
      <c r="P18" s="30" t="s">
        <v>25</v>
      </c>
      <c r="Q18" s="12"/>
      <c r="R18" s="12"/>
      <c r="S18" s="12"/>
      <c r="T18" s="17"/>
      <c r="U18" s="17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5">
      <c r="A19" s="52" t="s">
        <v>26</v>
      </c>
      <c r="B19" s="46" t="s">
        <v>25</v>
      </c>
      <c r="C19" s="30" t="s">
        <v>25</v>
      </c>
      <c r="D19" s="30" t="s">
        <v>25</v>
      </c>
      <c r="E19" s="30" t="s">
        <v>25</v>
      </c>
      <c r="F19" s="30" t="s">
        <v>25</v>
      </c>
      <c r="G19" s="30" t="s">
        <v>25</v>
      </c>
      <c r="H19" s="30" t="s">
        <v>25</v>
      </c>
      <c r="I19" s="30" t="s">
        <v>25</v>
      </c>
      <c r="J19" s="31">
        <f>SUMPRODUCT(J5:J16,M5:M16,N5:N16)</f>
        <v>386212.11999999994</v>
      </c>
      <c r="K19" s="30">
        <v>0</v>
      </c>
      <c r="L19" s="31">
        <f>SUMPRODUCT(L4:L16,M4:M16,N4:N16)</f>
        <v>37848</v>
      </c>
      <c r="M19" s="30" t="s">
        <v>25</v>
      </c>
      <c r="N19" s="30">
        <v>12</v>
      </c>
      <c r="O19" s="30">
        <f>SUM(O5:O16)</f>
        <v>6272</v>
      </c>
      <c r="P19" s="31">
        <f>SUM(P$5:P$16)</f>
        <v>424060.11999999994</v>
      </c>
      <c r="Q19" s="12"/>
      <c r="R19" s="12"/>
      <c r="S19" s="12"/>
      <c r="T19" s="17"/>
      <c r="U19" s="17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5">
      <c r="A20" s="10" t="s">
        <v>27</v>
      </c>
      <c r="B20" s="10"/>
      <c r="C20" s="10"/>
      <c r="D20" s="10"/>
      <c r="E20" s="10"/>
      <c r="F20" s="10"/>
      <c r="G20" s="10"/>
      <c r="H20" s="10"/>
      <c r="I20" s="10"/>
      <c r="J20" s="14"/>
      <c r="K20" s="10"/>
      <c r="L20" s="14"/>
      <c r="M20" s="10"/>
      <c r="N20" s="10"/>
      <c r="O20" s="13"/>
      <c r="P20" s="10"/>
      <c r="Q20" s="10"/>
      <c r="R20" s="10"/>
      <c r="S20" s="10"/>
    </row>
    <row r="21" spans="1:255">
      <c r="A21" s="10" t="s">
        <v>28</v>
      </c>
      <c r="B21" s="10"/>
      <c r="C21" s="10"/>
      <c r="D21" s="10"/>
      <c r="E21" s="10"/>
      <c r="F21" s="10"/>
      <c r="G21" s="10"/>
      <c r="H21" s="10"/>
      <c r="I21" s="10"/>
      <c r="J21" s="14"/>
      <c r="K21" s="18" t="s">
        <v>29</v>
      </c>
      <c r="L21" s="10" t="s">
        <v>30</v>
      </c>
      <c r="M21" s="10"/>
      <c r="N21" s="10"/>
      <c r="O21" s="13"/>
      <c r="P21" s="10"/>
      <c r="Q21" s="10"/>
      <c r="R21" s="10"/>
      <c r="S21" s="10"/>
    </row>
    <row r="22" spans="1:255">
      <c r="B22" s="10"/>
      <c r="C22" s="10"/>
      <c r="D22" s="10"/>
      <c r="E22" s="10"/>
      <c r="F22" s="10"/>
      <c r="G22" s="10"/>
      <c r="H22" s="10"/>
      <c r="I22" s="10"/>
      <c r="J22" s="10"/>
      <c r="K22" s="18" t="s">
        <v>31</v>
      </c>
      <c r="L22" s="16">
        <f>O19/N19</f>
        <v>522.66666666666663</v>
      </c>
      <c r="M22" s="10" t="s">
        <v>32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</row>
  </sheetData>
  <mergeCells count="2">
    <mergeCell ref="M3:P3"/>
    <mergeCell ref="B3:L3"/>
  </mergeCells>
  <phoneticPr fontId="1" type="noConversion"/>
  <pageMargins left="0.75" right="0.75" top="1" bottom="1" header="0.5" footer="0.5"/>
  <pageSetup scale="84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6"/>
  <sheetViews>
    <sheetView topLeftCell="D1" workbookViewId="0">
      <selection activeCell="N12" sqref="N12"/>
    </sheetView>
  </sheetViews>
  <sheetFormatPr defaultColWidth="7.21875" defaultRowHeight="15"/>
  <cols>
    <col min="1" max="1" width="8.77734375" customWidth="1"/>
    <col min="2" max="10" width="7.21875" customWidth="1"/>
    <col min="11" max="11" width="7.21875" style="2" customWidth="1"/>
    <col min="12" max="12" width="7.21875" customWidth="1"/>
    <col min="13" max="13" width="7.21875" style="2" customWidth="1"/>
    <col min="14" max="15" width="7.21875" customWidth="1"/>
    <col min="16" max="16" width="7.21875" style="1" customWidth="1"/>
  </cols>
  <sheetData>
    <row r="1" spans="1:20">
      <c r="A1" s="5" t="s">
        <v>33</v>
      </c>
      <c r="B1" s="5"/>
      <c r="C1" s="5"/>
      <c r="D1" s="5"/>
      <c r="E1" s="5"/>
      <c r="F1" s="5"/>
      <c r="G1" s="5"/>
      <c r="H1" s="5"/>
      <c r="I1" s="5"/>
      <c r="J1" s="5"/>
      <c r="K1" s="4"/>
      <c r="L1" s="5"/>
      <c r="M1" s="4"/>
      <c r="N1" s="5"/>
      <c r="O1" s="5"/>
      <c r="P1" s="3"/>
      <c r="Q1" s="5"/>
      <c r="R1" s="10"/>
      <c r="S1" s="10"/>
      <c r="T1" s="10"/>
    </row>
    <row r="2" spans="1:20">
      <c r="A2" s="5" t="s">
        <v>97</v>
      </c>
      <c r="B2" s="5"/>
      <c r="C2" s="5"/>
      <c r="D2" s="5"/>
      <c r="E2" s="5"/>
      <c r="F2" s="5"/>
      <c r="G2" s="5"/>
      <c r="H2" s="5"/>
      <c r="I2" s="5"/>
      <c r="J2" s="5"/>
      <c r="K2" s="4"/>
      <c r="L2" s="5"/>
      <c r="M2" s="4"/>
      <c r="N2" s="5"/>
      <c r="O2" s="5"/>
      <c r="P2" s="3"/>
      <c r="Q2" s="5"/>
      <c r="R2" s="10"/>
      <c r="S2" s="10"/>
      <c r="T2" s="10"/>
    </row>
    <row r="3" spans="1:20">
      <c r="A3" s="10"/>
      <c r="B3" s="9" t="s">
        <v>34</v>
      </c>
      <c r="K3"/>
      <c r="M3"/>
      <c r="O3" s="5" t="s">
        <v>2</v>
      </c>
      <c r="P3" s="3"/>
      <c r="Q3" s="5"/>
      <c r="R3" s="10"/>
      <c r="S3" s="10"/>
      <c r="T3" s="10"/>
    </row>
    <row r="4" spans="1:20" ht="33.75">
      <c r="A4" s="52" t="s">
        <v>3</v>
      </c>
      <c r="B4" s="89" t="s">
        <v>117</v>
      </c>
      <c r="C4" s="90" t="s">
        <v>118</v>
      </c>
      <c r="D4" s="90" t="s">
        <v>119</v>
      </c>
      <c r="E4" s="91" t="s">
        <v>122</v>
      </c>
      <c r="F4" s="90" t="s">
        <v>120</v>
      </c>
      <c r="G4" s="92" t="s">
        <v>133</v>
      </c>
      <c r="H4" s="90" t="s">
        <v>121</v>
      </c>
      <c r="I4" s="90" t="s">
        <v>134</v>
      </c>
      <c r="J4" s="92" t="s">
        <v>135</v>
      </c>
      <c r="K4" s="92" t="s">
        <v>35</v>
      </c>
      <c r="L4" s="92" t="s">
        <v>6</v>
      </c>
      <c r="M4" s="92" t="s">
        <v>7</v>
      </c>
      <c r="N4" s="92" t="s">
        <v>8</v>
      </c>
      <c r="O4" s="92" t="s">
        <v>124</v>
      </c>
      <c r="P4" s="92" t="s">
        <v>10</v>
      </c>
      <c r="Q4" s="92" t="s">
        <v>11</v>
      </c>
      <c r="R4" s="10"/>
    </row>
    <row r="5" spans="1:20" ht="45">
      <c r="A5" s="52" t="s">
        <v>12</v>
      </c>
      <c r="B5" s="50">
        <v>7</v>
      </c>
      <c r="C5" s="50">
        <v>1</v>
      </c>
      <c r="D5" s="50">
        <v>1</v>
      </c>
      <c r="E5" s="50">
        <v>0</v>
      </c>
      <c r="F5" s="30">
        <v>0</v>
      </c>
      <c r="G5" s="30">
        <v>0</v>
      </c>
      <c r="H5" s="30">
        <v>0</v>
      </c>
      <c r="I5" s="30">
        <v>0</v>
      </c>
      <c r="J5" s="50">
        <f>B5+C5+D5+E5+F5+G5+H5+I5</f>
        <v>9</v>
      </c>
      <c r="K5" s="31">
        <f t="shared" ref="K5:K15" si="0">(B5*72.43)+(C5*110.29)+(D5*114.77)+(E5*29.93)+(F5*50.63)+(G5*39.31)+(H5*42.86)+(I5*39.5)</f>
        <v>732.07</v>
      </c>
      <c r="L5" s="50">
        <v>0</v>
      </c>
      <c r="M5" s="63">
        <v>1</v>
      </c>
      <c r="N5" s="95">
        <v>1</v>
      </c>
      <c r="O5" s="50">
        <v>9</v>
      </c>
      <c r="P5" s="50">
        <f t="shared" ref="P5:P15" si="1">J5*N5*O5</f>
        <v>81</v>
      </c>
      <c r="Q5" s="63">
        <f t="shared" ref="Q5:Q15" si="2">(K5+L5+M5)*N5*O5</f>
        <v>6597.63</v>
      </c>
      <c r="R5" s="10"/>
    </row>
    <row r="6" spans="1:20">
      <c r="A6" s="52" t="s">
        <v>13</v>
      </c>
      <c r="B6" s="50">
        <v>2</v>
      </c>
      <c r="C6" s="50">
        <v>0</v>
      </c>
      <c r="D6" s="50">
        <v>0</v>
      </c>
      <c r="E6" s="50">
        <v>0</v>
      </c>
      <c r="F6" s="30">
        <v>1</v>
      </c>
      <c r="G6" s="30">
        <v>0</v>
      </c>
      <c r="H6" s="30">
        <v>0</v>
      </c>
      <c r="I6" s="30">
        <v>0</v>
      </c>
      <c r="J6" s="50">
        <f t="shared" ref="J6:J15" si="3">B6+C6+D6+E6+F6+G6+H6+I6</f>
        <v>3</v>
      </c>
      <c r="K6" s="31">
        <f t="shared" si="0"/>
        <v>195.49</v>
      </c>
      <c r="L6" s="50">
        <v>0</v>
      </c>
      <c r="M6" s="63">
        <v>30</v>
      </c>
      <c r="N6" s="95">
        <v>1</v>
      </c>
      <c r="O6" s="50">
        <v>9</v>
      </c>
      <c r="P6" s="50">
        <f t="shared" si="1"/>
        <v>27</v>
      </c>
      <c r="Q6" s="63">
        <f t="shared" si="2"/>
        <v>2029.41</v>
      </c>
      <c r="R6" s="10"/>
    </row>
    <row r="7" spans="1:20">
      <c r="A7" s="52" t="s">
        <v>36</v>
      </c>
      <c r="B7" s="50">
        <v>16</v>
      </c>
      <c r="C7" s="50">
        <v>0</v>
      </c>
      <c r="D7" s="50">
        <v>0</v>
      </c>
      <c r="E7" s="50">
        <v>0</v>
      </c>
      <c r="F7" s="30">
        <v>0</v>
      </c>
      <c r="G7" s="30">
        <v>0</v>
      </c>
      <c r="H7" s="30">
        <v>0</v>
      </c>
      <c r="I7" s="30">
        <v>0</v>
      </c>
      <c r="J7" s="50">
        <f t="shared" si="3"/>
        <v>16</v>
      </c>
      <c r="K7" s="31">
        <f t="shared" si="0"/>
        <v>1158.8800000000001</v>
      </c>
      <c r="L7" s="50">
        <v>0</v>
      </c>
      <c r="M7" s="63">
        <v>30</v>
      </c>
      <c r="N7" s="95">
        <v>1</v>
      </c>
      <c r="O7" s="50">
        <v>9</v>
      </c>
      <c r="P7" s="50">
        <f t="shared" si="1"/>
        <v>144</v>
      </c>
      <c r="Q7" s="63">
        <f t="shared" si="2"/>
        <v>10699.920000000002</v>
      </c>
      <c r="R7" s="10"/>
    </row>
    <row r="8" spans="1:20" ht="22.5">
      <c r="A8" s="52" t="s">
        <v>37</v>
      </c>
      <c r="B8" s="50">
        <v>2</v>
      </c>
      <c r="C8" s="50">
        <v>1</v>
      </c>
      <c r="D8" s="50">
        <v>0</v>
      </c>
      <c r="E8" s="50">
        <v>2</v>
      </c>
      <c r="F8" s="30">
        <v>0</v>
      </c>
      <c r="G8" s="30">
        <v>0</v>
      </c>
      <c r="H8" s="30">
        <v>0</v>
      </c>
      <c r="I8" s="30">
        <v>0</v>
      </c>
      <c r="J8" s="50">
        <f t="shared" si="3"/>
        <v>5</v>
      </c>
      <c r="K8" s="31">
        <f t="shared" si="0"/>
        <v>315.01000000000005</v>
      </c>
      <c r="L8" s="50">
        <v>0</v>
      </c>
      <c r="M8" s="63">
        <v>20</v>
      </c>
      <c r="N8" s="95">
        <f>17/9</f>
        <v>1.8888888888888888</v>
      </c>
      <c r="O8" s="50">
        <v>9</v>
      </c>
      <c r="P8" s="50">
        <f t="shared" si="1"/>
        <v>85</v>
      </c>
      <c r="Q8" s="63">
        <f t="shared" si="2"/>
        <v>5695.170000000001</v>
      </c>
      <c r="R8" s="10"/>
    </row>
    <row r="9" spans="1:20">
      <c r="A9" s="52" t="s">
        <v>38</v>
      </c>
      <c r="B9" s="50">
        <v>0</v>
      </c>
      <c r="C9" s="50">
        <v>0</v>
      </c>
      <c r="D9" s="50">
        <v>0</v>
      </c>
      <c r="E9" s="50">
        <v>1</v>
      </c>
      <c r="F9" s="50">
        <v>0</v>
      </c>
      <c r="G9" s="50">
        <v>0</v>
      </c>
      <c r="H9" s="30">
        <v>4</v>
      </c>
      <c r="I9" s="30">
        <v>0</v>
      </c>
      <c r="J9" s="50">
        <f t="shared" si="3"/>
        <v>5</v>
      </c>
      <c r="K9" s="31">
        <f t="shared" si="0"/>
        <v>201.37</v>
      </c>
      <c r="L9" s="50">
        <v>0</v>
      </c>
      <c r="M9" s="63">
        <v>150</v>
      </c>
      <c r="N9" s="95">
        <f>17/9</f>
        <v>1.8888888888888888</v>
      </c>
      <c r="O9" s="50">
        <v>9</v>
      </c>
      <c r="P9" s="50">
        <f t="shared" si="1"/>
        <v>85</v>
      </c>
      <c r="Q9" s="63">
        <f t="shared" si="2"/>
        <v>5973.29</v>
      </c>
      <c r="R9" s="10"/>
    </row>
    <row r="10" spans="1:20" ht="22.5">
      <c r="A10" s="52" t="s">
        <v>39</v>
      </c>
      <c r="B10" s="50">
        <v>1</v>
      </c>
      <c r="C10" s="50">
        <v>0</v>
      </c>
      <c r="D10" s="50">
        <v>0</v>
      </c>
      <c r="E10" s="50">
        <v>0</v>
      </c>
      <c r="F10" s="30">
        <v>3</v>
      </c>
      <c r="G10" s="30">
        <v>33</v>
      </c>
      <c r="H10" s="30">
        <v>0</v>
      </c>
      <c r="I10" s="30">
        <v>0</v>
      </c>
      <c r="J10" s="50">
        <f t="shared" si="3"/>
        <v>37</v>
      </c>
      <c r="K10" s="31">
        <f t="shared" si="0"/>
        <v>1521.55</v>
      </c>
      <c r="L10" s="50">
        <v>0</v>
      </c>
      <c r="M10" s="63">
        <v>200</v>
      </c>
      <c r="N10" s="95">
        <f>17/9</f>
        <v>1.8888888888888888</v>
      </c>
      <c r="O10" s="50">
        <v>9</v>
      </c>
      <c r="P10" s="50">
        <f t="shared" si="1"/>
        <v>629</v>
      </c>
      <c r="Q10" s="63">
        <f t="shared" si="2"/>
        <v>29266.35</v>
      </c>
      <c r="R10" s="10"/>
    </row>
    <row r="11" spans="1:20" ht="22.5">
      <c r="A11" s="57" t="s">
        <v>16</v>
      </c>
      <c r="B11" s="50">
        <v>8</v>
      </c>
      <c r="C11" s="50">
        <v>0</v>
      </c>
      <c r="D11" s="50">
        <v>0</v>
      </c>
      <c r="E11" s="50">
        <v>0</v>
      </c>
      <c r="F11" s="30">
        <v>38</v>
      </c>
      <c r="G11" s="30">
        <v>1</v>
      </c>
      <c r="H11" s="30">
        <v>1</v>
      </c>
      <c r="I11" s="30">
        <v>175</v>
      </c>
      <c r="J11" s="50">
        <f t="shared" si="3"/>
        <v>223</v>
      </c>
      <c r="K11" s="31">
        <f t="shared" si="0"/>
        <v>9498.0499999999993</v>
      </c>
      <c r="L11" s="50">
        <v>0</v>
      </c>
      <c r="M11" s="63">
        <v>100</v>
      </c>
      <c r="N11" s="95">
        <f>15/7*4</f>
        <v>8.5714285714285712</v>
      </c>
      <c r="O11" s="50">
        <v>7</v>
      </c>
      <c r="P11" s="50">
        <f t="shared" si="1"/>
        <v>13380</v>
      </c>
      <c r="Q11" s="63">
        <f t="shared" si="2"/>
        <v>575882.99999999988</v>
      </c>
    </row>
    <row r="12" spans="1:20" ht="22.5">
      <c r="A12" s="52" t="s">
        <v>19</v>
      </c>
      <c r="B12" s="51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50">
        <f t="shared" si="3"/>
        <v>0</v>
      </c>
      <c r="K12" s="31">
        <f t="shared" si="0"/>
        <v>0</v>
      </c>
      <c r="L12" s="30">
        <v>0</v>
      </c>
      <c r="M12" s="30">
        <v>1500</v>
      </c>
      <c r="N12" s="119">
        <f>2*4</f>
        <v>8</v>
      </c>
      <c r="O12" s="30">
        <v>2</v>
      </c>
      <c r="P12" s="30">
        <f>J12*N12*O12</f>
        <v>0</v>
      </c>
      <c r="Q12" s="30">
        <f>(K12+L12+M12)*N12*O12</f>
        <v>24000</v>
      </c>
    </row>
    <row r="13" spans="1:20" ht="22.5">
      <c r="A13" s="52" t="s">
        <v>40</v>
      </c>
      <c r="B13" s="50">
        <v>22</v>
      </c>
      <c r="C13" s="50">
        <v>0</v>
      </c>
      <c r="D13" s="50">
        <v>0</v>
      </c>
      <c r="E13" s="50">
        <v>5</v>
      </c>
      <c r="F13" s="30">
        <v>2</v>
      </c>
      <c r="G13" s="30">
        <v>0</v>
      </c>
      <c r="H13" s="30">
        <v>0</v>
      </c>
      <c r="I13" s="30">
        <v>0</v>
      </c>
      <c r="J13" s="50">
        <f t="shared" si="3"/>
        <v>29</v>
      </c>
      <c r="K13" s="31">
        <f t="shared" si="0"/>
        <v>1844.3700000000001</v>
      </c>
      <c r="L13" s="50">
        <v>0</v>
      </c>
      <c r="M13" s="63">
        <v>1</v>
      </c>
      <c r="N13" s="95">
        <f>15/7*4</f>
        <v>8.5714285714285712</v>
      </c>
      <c r="O13" s="50">
        <v>2</v>
      </c>
      <c r="P13" s="50">
        <f t="shared" si="1"/>
        <v>497.14285714285711</v>
      </c>
      <c r="Q13" s="63">
        <f t="shared" si="2"/>
        <v>31634.914285714287</v>
      </c>
    </row>
    <row r="14" spans="1:20" ht="33.75">
      <c r="A14" s="52" t="s">
        <v>41</v>
      </c>
      <c r="B14" s="50">
        <v>18</v>
      </c>
      <c r="C14" s="50">
        <v>1</v>
      </c>
      <c r="D14" s="50">
        <v>1</v>
      </c>
      <c r="E14" s="50">
        <v>1</v>
      </c>
      <c r="F14" s="30">
        <v>0</v>
      </c>
      <c r="G14" s="30">
        <v>0</v>
      </c>
      <c r="H14" s="30">
        <v>0</v>
      </c>
      <c r="I14" s="30">
        <v>0</v>
      </c>
      <c r="J14" s="50">
        <f t="shared" si="3"/>
        <v>21</v>
      </c>
      <c r="K14" s="31">
        <f t="shared" si="0"/>
        <v>1558.7300000000002</v>
      </c>
      <c r="L14" s="50">
        <v>0</v>
      </c>
      <c r="M14" s="63">
        <v>3</v>
      </c>
      <c r="N14" s="95">
        <v>1</v>
      </c>
      <c r="O14" s="50">
        <v>9</v>
      </c>
      <c r="P14" s="50">
        <f t="shared" si="1"/>
        <v>189</v>
      </c>
      <c r="Q14" s="63">
        <f t="shared" si="2"/>
        <v>14055.570000000002</v>
      </c>
      <c r="R14" s="10"/>
    </row>
    <row r="15" spans="1:20" ht="34.5" thickBot="1">
      <c r="A15" s="56" t="s">
        <v>22</v>
      </c>
      <c r="B15" s="61">
        <v>8</v>
      </c>
      <c r="C15" s="61">
        <v>0</v>
      </c>
      <c r="D15" s="61">
        <v>0</v>
      </c>
      <c r="E15" s="61">
        <v>1</v>
      </c>
      <c r="F15" s="48">
        <v>0</v>
      </c>
      <c r="G15" s="48">
        <v>0</v>
      </c>
      <c r="H15" s="48">
        <v>0</v>
      </c>
      <c r="I15" s="48">
        <v>1</v>
      </c>
      <c r="J15" s="61">
        <f t="shared" si="3"/>
        <v>10</v>
      </c>
      <c r="K15" s="31">
        <f t="shared" si="0"/>
        <v>648.87</v>
      </c>
      <c r="L15" s="61">
        <v>0</v>
      </c>
      <c r="M15" s="64">
        <v>1</v>
      </c>
      <c r="N15" s="99">
        <v>1</v>
      </c>
      <c r="O15" s="61">
        <v>9</v>
      </c>
      <c r="P15" s="61">
        <f t="shared" si="1"/>
        <v>90</v>
      </c>
      <c r="Q15" s="64">
        <f t="shared" si="2"/>
        <v>5848.83</v>
      </c>
      <c r="R15" s="10"/>
    </row>
    <row r="16" spans="1:20" ht="15.75" thickTop="1">
      <c r="A16" s="58"/>
      <c r="B16" s="59"/>
      <c r="C16" s="59"/>
      <c r="D16" s="59"/>
      <c r="E16" s="59"/>
      <c r="F16" s="24"/>
      <c r="G16" s="24"/>
      <c r="H16" s="24"/>
      <c r="I16" s="24"/>
      <c r="J16" s="59"/>
      <c r="K16" s="62"/>
      <c r="L16" s="59"/>
      <c r="M16" s="62"/>
      <c r="N16" s="59"/>
      <c r="O16" s="59"/>
      <c r="P16" s="59"/>
      <c r="Q16" s="62"/>
      <c r="R16" s="60"/>
    </row>
    <row r="17" spans="1:256" ht="22.5">
      <c r="A17" s="52" t="s">
        <v>23</v>
      </c>
      <c r="B17" s="50">
        <f t="shared" ref="B17:J17" si="4">SUM(B5:B15)</f>
        <v>84</v>
      </c>
      <c r="C17" s="50">
        <f t="shared" si="4"/>
        <v>3</v>
      </c>
      <c r="D17" s="50">
        <f t="shared" si="4"/>
        <v>2</v>
      </c>
      <c r="E17" s="50">
        <f t="shared" si="4"/>
        <v>10</v>
      </c>
      <c r="F17" s="50">
        <f t="shared" si="4"/>
        <v>44</v>
      </c>
      <c r="G17" s="50">
        <f t="shared" si="4"/>
        <v>34</v>
      </c>
      <c r="H17" s="50">
        <f t="shared" si="4"/>
        <v>5</v>
      </c>
      <c r="I17" s="50">
        <f>SUM(I5:I15)</f>
        <v>176</v>
      </c>
      <c r="J17" s="30">
        <f t="shared" si="4"/>
        <v>358</v>
      </c>
      <c r="K17" s="31">
        <f>SUM(K3:K15)</f>
        <v>17674.39</v>
      </c>
      <c r="L17" s="50">
        <v>0</v>
      </c>
      <c r="M17" s="63" t="s">
        <v>24</v>
      </c>
      <c r="N17" s="50" t="s">
        <v>24</v>
      </c>
      <c r="O17" s="50" t="s">
        <v>25</v>
      </c>
      <c r="P17" s="50" t="s">
        <v>25</v>
      </c>
      <c r="Q17" s="63" t="s">
        <v>25</v>
      </c>
      <c r="T17" s="12"/>
      <c r="U17" s="12"/>
      <c r="V17" s="17"/>
      <c r="W17" s="17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ht="22.5">
      <c r="A18" s="52" t="s">
        <v>26</v>
      </c>
      <c r="B18" s="50" t="s">
        <v>25</v>
      </c>
      <c r="C18" s="50" t="s">
        <v>25</v>
      </c>
      <c r="D18" s="50" t="s">
        <v>25</v>
      </c>
      <c r="E18" s="50" t="s">
        <v>25</v>
      </c>
      <c r="F18" s="50" t="s">
        <v>25</v>
      </c>
      <c r="G18" s="50" t="s">
        <v>25</v>
      </c>
      <c r="H18" s="50" t="s">
        <v>25</v>
      </c>
      <c r="I18" s="50" t="s">
        <v>25</v>
      </c>
      <c r="J18" s="50" t="s">
        <v>25</v>
      </c>
      <c r="K18" s="63">
        <f>SUMPRODUCT(K3:K15,N3:N15,O3:O15)</f>
        <v>674791.94142857124</v>
      </c>
      <c r="L18" s="50">
        <v>0</v>
      </c>
      <c r="M18" s="63">
        <f>SUMPRODUCT(M3:M15,N3:N15,O3:O15)</f>
        <v>36892.142857142855</v>
      </c>
      <c r="N18" s="50" t="s">
        <v>25</v>
      </c>
      <c r="O18" s="50">
        <v>9</v>
      </c>
      <c r="P18" s="50">
        <f>SUM(P5:P15)</f>
        <v>15207.142857142857</v>
      </c>
      <c r="Q18" s="63">
        <f>SUM(Q5:Q15)</f>
        <v>711684.08428571408</v>
      </c>
      <c r="T18" s="12"/>
      <c r="U18" s="12"/>
      <c r="V18" s="17"/>
      <c r="W18" s="17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>
      <c r="A19" s="11"/>
      <c r="B19" s="11"/>
      <c r="C19" s="9"/>
      <c r="D19" s="9"/>
      <c r="E19" s="9"/>
      <c r="F19" s="10"/>
      <c r="G19" s="10"/>
      <c r="H19" s="10"/>
      <c r="I19" s="10"/>
      <c r="J19" s="6"/>
      <c r="K19" s="8"/>
      <c r="L19" s="9"/>
      <c r="M19" s="8"/>
      <c r="N19" s="15"/>
      <c r="O19" s="9"/>
      <c r="P19" s="7"/>
      <c r="Q19" s="8"/>
      <c r="R19" s="10"/>
      <c r="S19" s="10"/>
      <c r="T19" s="10"/>
    </row>
    <row r="20" spans="1:256">
      <c r="A20" s="10" t="s">
        <v>99</v>
      </c>
      <c r="B20" s="10"/>
      <c r="C20" s="10"/>
      <c r="D20" s="10"/>
      <c r="E20" s="10"/>
      <c r="F20" s="10"/>
      <c r="G20" s="10"/>
      <c r="I20" s="59"/>
      <c r="J20" s="10"/>
      <c r="K20" s="14"/>
      <c r="L20" s="10"/>
      <c r="M20" s="14"/>
      <c r="N20" s="10"/>
      <c r="O20" s="10"/>
      <c r="P20" s="13"/>
      <c r="Q20" s="10"/>
      <c r="R20" s="10"/>
      <c r="S20" s="10"/>
      <c r="T20" s="10"/>
    </row>
    <row r="21" spans="1:256">
      <c r="A21" s="10" t="s">
        <v>42</v>
      </c>
      <c r="B21" s="10"/>
      <c r="C21" s="10"/>
      <c r="D21" s="10"/>
      <c r="E21" s="10"/>
      <c r="F21" s="10"/>
      <c r="G21" s="10"/>
      <c r="H21" s="10"/>
      <c r="I21" s="10"/>
      <c r="J21" s="10"/>
      <c r="K21" s="14"/>
      <c r="L21" s="10"/>
      <c r="M21" s="18" t="s">
        <v>98</v>
      </c>
      <c r="N21" s="10" t="s">
        <v>30</v>
      </c>
      <c r="O21" s="10"/>
      <c r="P21" s="13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>
      <c r="A22" s="10" t="s">
        <v>43</v>
      </c>
      <c r="K22" s="10"/>
      <c r="M22" s="18" t="s">
        <v>31</v>
      </c>
      <c r="N22" s="16">
        <f>P18/O18</f>
        <v>1689.6825396825398</v>
      </c>
      <c r="O22" s="10" t="s">
        <v>32</v>
      </c>
      <c r="P22"/>
      <c r="R22" s="10"/>
      <c r="S22" s="10"/>
      <c r="T22" s="10"/>
    </row>
    <row r="23" spans="1:256">
      <c r="A23" s="10" t="s">
        <v>141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3"/>
      <c r="Q23" s="10"/>
      <c r="R23" s="10"/>
      <c r="S23" s="10"/>
      <c r="T23" s="10"/>
    </row>
    <row r="24" spans="1:256">
      <c r="A24" s="10" t="s">
        <v>142</v>
      </c>
      <c r="B24" s="10"/>
      <c r="C24" s="10"/>
      <c r="D24" s="10"/>
      <c r="E24" s="10"/>
      <c r="F24" s="10"/>
      <c r="G24" s="10"/>
      <c r="H24" s="10"/>
      <c r="I24" s="10"/>
      <c r="J24" s="10"/>
      <c r="K24" s="14"/>
      <c r="L24" s="10"/>
      <c r="M24" s="14"/>
      <c r="N24" s="10"/>
      <c r="O24" s="10"/>
      <c r="P24" s="13"/>
      <c r="Q24" s="10"/>
      <c r="R24" s="10"/>
      <c r="S24" s="10"/>
      <c r="T24" s="10"/>
    </row>
    <row r="25" spans="1:256">
      <c r="A25" s="10" t="s">
        <v>44</v>
      </c>
      <c r="B25" s="10"/>
      <c r="C25" s="10"/>
      <c r="D25" s="10"/>
      <c r="E25" s="10"/>
      <c r="F25" s="10"/>
      <c r="G25" s="10"/>
      <c r="H25" s="10"/>
      <c r="I25" s="10"/>
      <c r="J25" s="10"/>
      <c r="K25" s="14"/>
      <c r="L25" s="10"/>
      <c r="M25" s="14"/>
      <c r="N25" s="10"/>
      <c r="O25" s="10"/>
      <c r="P25" s="13"/>
      <c r="Q25" s="10"/>
      <c r="R25" s="10"/>
      <c r="S25" s="10"/>
      <c r="T25" s="10"/>
    </row>
    <row r="26" spans="1:25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4"/>
      <c r="L26" s="10"/>
      <c r="M26" s="14"/>
      <c r="N26" s="10"/>
      <c r="O26" s="10"/>
      <c r="P26" s="13"/>
      <c r="Q26" s="10"/>
      <c r="R26" s="10"/>
      <c r="S26" s="10"/>
      <c r="T26" s="10"/>
    </row>
    <row r="27" spans="1:256">
      <c r="B27" s="10"/>
      <c r="C27" s="10"/>
      <c r="D27" s="10"/>
      <c r="E27" s="10"/>
      <c r="F27" s="10"/>
      <c r="G27" s="10"/>
      <c r="H27" s="10"/>
      <c r="I27" s="10"/>
      <c r="J27" s="10"/>
      <c r="K27" s="14"/>
      <c r="L27" s="10"/>
      <c r="M27" s="14"/>
      <c r="N27" s="10"/>
      <c r="O27" s="10"/>
      <c r="P27" s="13"/>
      <c r="Q27" s="10"/>
      <c r="R27" s="10"/>
      <c r="S27" s="10"/>
      <c r="T27" s="10"/>
    </row>
    <row r="28" spans="1:256">
      <c r="E28" s="10"/>
      <c r="F28" s="10"/>
      <c r="G28" s="10"/>
      <c r="H28" s="10"/>
      <c r="I28" s="10"/>
      <c r="J28" s="10"/>
      <c r="K28" s="14"/>
      <c r="L28" s="10"/>
      <c r="M28" s="14"/>
      <c r="N28" s="10"/>
      <c r="O28" s="10"/>
      <c r="P28" s="13"/>
      <c r="Q28" s="10"/>
      <c r="R28" s="10"/>
      <c r="S28" s="10"/>
      <c r="T28" s="10"/>
    </row>
    <row r="29" spans="1:256">
      <c r="D29" s="10"/>
      <c r="E29" s="10"/>
      <c r="J29" s="10"/>
      <c r="K29" s="14"/>
      <c r="L29" s="10"/>
      <c r="M29" s="14"/>
      <c r="N29" s="10"/>
      <c r="O29" s="10"/>
      <c r="P29" s="13"/>
      <c r="Q29" s="10"/>
      <c r="R29" s="10"/>
      <c r="S29" s="10"/>
      <c r="T29" s="10"/>
    </row>
    <row r="30" spans="1:256">
      <c r="D30" s="10"/>
      <c r="E30" s="10"/>
      <c r="J30" s="10"/>
      <c r="K30" s="14"/>
      <c r="L30" s="10"/>
      <c r="M30" s="14"/>
      <c r="N30" s="10"/>
      <c r="O30" s="10"/>
      <c r="P30" s="13"/>
      <c r="Q30" s="10"/>
      <c r="R30" s="10"/>
      <c r="S30" s="10"/>
      <c r="T30" s="10"/>
    </row>
    <row r="31" spans="1:256">
      <c r="A31" s="10"/>
      <c r="B31" s="10"/>
      <c r="C31" s="10"/>
      <c r="D31" s="10"/>
      <c r="E31" s="10"/>
      <c r="J31" s="10"/>
      <c r="K31" s="14"/>
      <c r="L31" s="10"/>
      <c r="M31" s="14"/>
      <c r="N31" s="10"/>
      <c r="O31" s="10"/>
      <c r="P31" s="13"/>
      <c r="Q31" s="10"/>
      <c r="R31" s="10"/>
      <c r="S31" s="10"/>
      <c r="T31" s="10"/>
    </row>
    <row r="32" spans="1:256">
      <c r="A32" s="10"/>
      <c r="B32" s="10"/>
      <c r="C32" s="10"/>
      <c r="D32" s="10"/>
      <c r="E32" s="10"/>
      <c r="J32" s="10"/>
      <c r="K32" s="14"/>
      <c r="L32" s="10"/>
      <c r="M32" s="14"/>
      <c r="N32" s="10"/>
      <c r="O32" s="10"/>
      <c r="P32" s="13"/>
      <c r="Q32" s="10"/>
      <c r="R32" s="10"/>
      <c r="S32" s="10"/>
      <c r="T32" s="10"/>
    </row>
    <row r="33" spans="1:20">
      <c r="A33" s="10"/>
      <c r="B33" s="10"/>
      <c r="C33" s="10"/>
      <c r="D33" s="10"/>
      <c r="E33" s="10"/>
      <c r="J33" s="10"/>
      <c r="K33" s="14"/>
      <c r="L33" s="10"/>
      <c r="M33" s="14"/>
      <c r="N33" s="10"/>
      <c r="O33" s="10"/>
      <c r="P33" s="13"/>
      <c r="Q33" s="10"/>
      <c r="R33" s="10"/>
      <c r="S33" s="10"/>
      <c r="T33" s="10"/>
    </row>
    <row r="34" spans="1:20">
      <c r="A34" s="10"/>
      <c r="B34" s="10"/>
      <c r="C34" s="10"/>
      <c r="D34" s="10"/>
      <c r="E34" s="10"/>
      <c r="J34" s="10"/>
      <c r="K34" s="14"/>
      <c r="L34" s="10"/>
      <c r="M34" s="14"/>
      <c r="N34" s="10"/>
      <c r="O34" s="10"/>
      <c r="P34" s="13"/>
      <c r="Q34" s="10"/>
      <c r="R34" s="10"/>
      <c r="S34" s="10"/>
      <c r="T34" s="10"/>
    </row>
    <row r="35" spans="1:20">
      <c r="A35" s="10"/>
      <c r="B35" s="10"/>
      <c r="C35" s="10"/>
      <c r="D35" s="10"/>
      <c r="E35" s="10"/>
      <c r="J35" s="10"/>
      <c r="K35" s="14"/>
      <c r="L35" s="10"/>
      <c r="M35" s="14"/>
      <c r="N35" s="10"/>
      <c r="O35" s="10"/>
      <c r="P35" s="13"/>
      <c r="Q35" s="10"/>
      <c r="R35" s="10"/>
      <c r="S35" s="10"/>
      <c r="T35" s="10"/>
    </row>
    <row r="36" spans="1:20">
      <c r="A36" s="10"/>
      <c r="B36" s="10"/>
      <c r="C36" s="10"/>
      <c r="D36" s="10"/>
      <c r="E36" s="10"/>
      <c r="J36" s="10"/>
      <c r="K36" s="14"/>
      <c r="L36" s="10"/>
      <c r="M36" s="14"/>
      <c r="N36" s="10"/>
      <c r="O36" s="10"/>
      <c r="P36" s="13"/>
      <c r="Q36" s="10"/>
      <c r="R36" s="10"/>
      <c r="S36" s="10"/>
      <c r="T36" s="10"/>
    </row>
  </sheetData>
  <phoneticPr fontId="1" type="noConversion"/>
  <pageMargins left="0.75" right="0.75" top="1" bottom="1" header="0.5" footer="0.5"/>
  <pageSetup scale="81" orientation="landscape" verticalDpi="300" r:id="rId1"/>
  <headerFooter alignWithMargins="0"/>
  <ignoredErrors>
    <ignoredError sqref="N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opLeftCell="H3" workbookViewId="0">
      <selection activeCell="N20" sqref="N20"/>
    </sheetView>
  </sheetViews>
  <sheetFormatPr defaultRowHeight="11.25"/>
  <cols>
    <col min="1" max="1" width="12.6640625" style="10" customWidth="1"/>
    <col min="2" max="2" width="7.44140625" style="10" customWidth="1"/>
    <col min="3" max="3" width="6.6640625" style="10" customWidth="1"/>
    <col min="4" max="4" width="6.33203125" style="10" customWidth="1"/>
    <col min="5" max="5" width="7.109375" style="10" customWidth="1"/>
    <col min="6" max="6" width="5.6640625" style="10" bestFit="1" customWidth="1"/>
    <col min="7" max="7" width="5.21875" style="10" bestFit="1" customWidth="1"/>
    <col min="8" max="8" width="7" style="10" customWidth="1"/>
    <col min="9" max="9" width="6.44140625" style="10" customWidth="1"/>
    <col min="10" max="10" width="6.88671875" style="10" customWidth="1"/>
    <col min="11" max="11" width="7.44140625" style="10" customWidth="1"/>
    <col min="12" max="12" width="6.88671875" style="10" customWidth="1"/>
    <col min="13" max="13" width="6.6640625" style="10" customWidth="1"/>
    <col min="14" max="16384" width="8.88671875" style="10"/>
  </cols>
  <sheetData>
    <row r="1" spans="1:14">
      <c r="A1" s="134" t="s">
        <v>101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>
      <c r="A2" s="134" t="s">
        <v>102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4" spans="1:14" ht="15">
      <c r="A4" s="11"/>
      <c r="B4" s="129" t="s">
        <v>34</v>
      </c>
      <c r="C4" s="130"/>
      <c r="D4" s="130"/>
      <c r="E4" s="130"/>
      <c r="F4" s="130"/>
      <c r="G4" s="130"/>
      <c r="H4" s="130"/>
      <c r="I4" s="130"/>
      <c r="J4" s="131"/>
      <c r="K4" s="129" t="s">
        <v>2</v>
      </c>
      <c r="L4" s="132"/>
      <c r="M4" s="132"/>
      <c r="N4" s="133"/>
    </row>
    <row r="5" spans="1:14" ht="35.25" customHeight="1">
      <c r="A5" s="93" t="s">
        <v>3</v>
      </c>
      <c r="B5" s="94" t="s">
        <v>136</v>
      </c>
      <c r="C5" s="94" t="s">
        <v>145</v>
      </c>
      <c r="D5" s="94" t="s">
        <v>146</v>
      </c>
      <c r="E5" s="94" t="s">
        <v>137</v>
      </c>
      <c r="F5" s="94" t="s">
        <v>138</v>
      </c>
      <c r="G5" s="94" t="s">
        <v>103</v>
      </c>
      <c r="H5" s="94" t="s">
        <v>66</v>
      </c>
      <c r="I5" s="94" t="s">
        <v>6</v>
      </c>
      <c r="J5" s="94" t="s">
        <v>104</v>
      </c>
      <c r="K5" s="94" t="s">
        <v>139</v>
      </c>
      <c r="L5" s="94" t="s">
        <v>124</v>
      </c>
      <c r="M5" s="94" t="s">
        <v>10</v>
      </c>
      <c r="N5" s="94" t="s">
        <v>67</v>
      </c>
    </row>
    <row r="6" spans="1:14" ht="8.2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2.5">
      <c r="A7" s="52" t="s">
        <v>115</v>
      </c>
      <c r="B7" s="52">
        <v>6</v>
      </c>
      <c r="C7" s="52">
        <v>1</v>
      </c>
      <c r="D7" s="52">
        <v>4</v>
      </c>
      <c r="E7" s="52">
        <v>3</v>
      </c>
      <c r="F7" s="52">
        <v>1</v>
      </c>
      <c r="G7" s="52">
        <f>B7+C7+D7+E7+F7</f>
        <v>15</v>
      </c>
      <c r="H7" s="31">
        <f>(B7*71.02)+(C7*24.38)+(D7*81.56)+(E7*84.61)+(F7*143.08)</f>
        <v>1173.6499999999999</v>
      </c>
      <c r="I7" s="52">
        <v>0</v>
      </c>
      <c r="J7" s="68">
        <v>2</v>
      </c>
      <c r="K7" s="52">
        <v>1</v>
      </c>
      <c r="L7" s="52">
        <v>12</v>
      </c>
      <c r="M7" s="50">
        <f t="shared" ref="M7:M17" si="0">G7*K7*L7</f>
        <v>180</v>
      </c>
      <c r="N7" s="68">
        <f t="shared" ref="N7:N17" si="1">(H7+I7+J7)*K7*L7</f>
        <v>14107.8</v>
      </c>
    </row>
    <row r="8" spans="1:14" ht="33.75">
      <c r="A8" s="52" t="s">
        <v>105</v>
      </c>
      <c r="B8" s="52">
        <v>0</v>
      </c>
      <c r="C8" s="52">
        <v>0.5</v>
      </c>
      <c r="D8" s="52">
        <v>0</v>
      </c>
      <c r="E8" s="52">
        <v>0</v>
      </c>
      <c r="F8" s="52">
        <v>0</v>
      </c>
      <c r="G8" s="52">
        <f t="shared" ref="G8:G17" si="2">B8+C8+D8+E8+F8</f>
        <v>0.5</v>
      </c>
      <c r="H8" s="31">
        <f t="shared" ref="H8:H17" si="3">(B8*71.02)+(C8*24.38)+(D8*81.56)+(E8*84.61)+(F8*143.08)</f>
        <v>12.19</v>
      </c>
      <c r="I8" s="52">
        <v>0</v>
      </c>
      <c r="J8" s="68">
        <v>0</v>
      </c>
      <c r="K8" s="52">
        <v>9</v>
      </c>
      <c r="L8" s="52">
        <v>12</v>
      </c>
      <c r="M8" s="50">
        <f t="shared" si="0"/>
        <v>54</v>
      </c>
      <c r="N8" s="68">
        <f t="shared" si="1"/>
        <v>1316.52</v>
      </c>
    </row>
    <row r="9" spans="1:14" ht="34.5" customHeight="1">
      <c r="A9" s="52" t="s">
        <v>106</v>
      </c>
      <c r="B9" s="52">
        <v>0.5</v>
      </c>
      <c r="C9" s="52">
        <v>1</v>
      </c>
      <c r="D9" s="52">
        <v>0</v>
      </c>
      <c r="E9" s="52">
        <v>0</v>
      </c>
      <c r="F9" s="52">
        <v>0</v>
      </c>
      <c r="G9" s="52">
        <f t="shared" si="2"/>
        <v>1.5</v>
      </c>
      <c r="H9" s="31">
        <f t="shared" si="3"/>
        <v>59.89</v>
      </c>
      <c r="I9" s="52">
        <v>0</v>
      </c>
      <c r="J9" s="68">
        <v>10</v>
      </c>
      <c r="K9" s="52">
        <v>9</v>
      </c>
      <c r="L9" s="52">
        <v>12</v>
      </c>
      <c r="M9" s="50">
        <f t="shared" si="0"/>
        <v>162</v>
      </c>
      <c r="N9" s="68">
        <f t="shared" si="1"/>
        <v>7548.12</v>
      </c>
    </row>
    <row r="10" spans="1:14" ht="35.25" customHeight="1">
      <c r="A10" s="52" t="s">
        <v>107</v>
      </c>
      <c r="B10" s="52">
        <v>0</v>
      </c>
      <c r="C10" s="52">
        <v>0.5</v>
      </c>
      <c r="D10" s="52">
        <v>0</v>
      </c>
      <c r="E10" s="52">
        <v>0</v>
      </c>
      <c r="F10" s="52">
        <v>0</v>
      </c>
      <c r="G10" s="52">
        <f t="shared" si="2"/>
        <v>0.5</v>
      </c>
      <c r="H10" s="31">
        <f t="shared" si="3"/>
        <v>12.19</v>
      </c>
      <c r="I10" s="52">
        <v>0</v>
      </c>
      <c r="J10" s="68">
        <v>0</v>
      </c>
      <c r="K10" s="52">
        <v>9</v>
      </c>
      <c r="L10" s="52">
        <v>12</v>
      </c>
      <c r="M10" s="50">
        <f t="shared" si="0"/>
        <v>54</v>
      </c>
      <c r="N10" s="68">
        <f t="shared" si="1"/>
        <v>1316.52</v>
      </c>
    </row>
    <row r="11" spans="1:14" ht="36" customHeight="1">
      <c r="A11" s="52" t="s">
        <v>108</v>
      </c>
      <c r="B11" s="52">
        <v>0.5</v>
      </c>
      <c r="C11" s="52">
        <v>0.5</v>
      </c>
      <c r="D11" s="52">
        <v>3</v>
      </c>
      <c r="E11" s="52">
        <v>2</v>
      </c>
      <c r="F11" s="52">
        <v>1</v>
      </c>
      <c r="G11" s="52">
        <f t="shared" si="2"/>
        <v>7</v>
      </c>
      <c r="H11" s="31">
        <f t="shared" si="3"/>
        <v>604.68000000000006</v>
      </c>
      <c r="I11" s="52">
        <v>0</v>
      </c>
      <c r="J11" s="68">
        <v>10</v>
      </c>
      <c r="K11" s="52">
        <v>9</v>
      </c>
      <c r="L11" s="52">
        <v>12</v>
      </c>
      <c r="M11" s="50">
        <f t="shared" si="0"/>
        <v>756</v>
      </c>
      <c r="N11" s="68">
        <f t="shared" si="1"/>
        <v>66385.440000000002</v>
      </c>
    </row>
    <row r="12" spans="1:14" ht="25.5" customHeight="1">
      <c r="A12" s="52" t="s">
        <v>109</v>
      </c>
      <c r="B12" s="52">
        <v>0</v>
      </c>
      <c r="C12" s="52">
        <v>0.5</v>
      </c>
      <c r="D12" s="52">
        <v>0</v>
      </c>
      <c r="E12" s="52">
        <v>0</v>
      </c>
      <c r="F12" s="52">
        <v>0</v>
      </c>
      <c r="G12" s="52">
        <f t="shared" si="2"/>
        <v>0.5</v>
      </c>
      <c r="H12" s="31">
        <f t="shared" si="3"/>
        <v>12.19</v>
      </c>
      <c r="I12" s="52">
        <v>0</v>
      </c>
      <c r="J12" s="68">
        <v>2</v>
      </c>
      <c r="K12" s="52">
        <v>9</v>
      </c>
      <c r="L12" s="52">
        <v>12</v>
      </c>
      <c r="M12" s="50">
        <f t="shared" si="0"/>
        <v>54</v>
      </c>
      <c r="N12" s="68">
        <f t="shared" si="1"/>
        <v>1532.52</v>
      </c>
    </row>
    <row r="13" spans="1:14" ht="15" customHeight="1">
      <c r="A13" s="52" t="s">
        <v>110</v>
      </c>
      <c r="B13" s="52">
        <v>0</v>
      </c>
      <c r="C13" s="52">
        <v>2</v>
      </c>
      <c r="D13" s="52">
        <v>0</v>
      </c>
      <c r="E13" s="52">
        <v>0</v>
      </c>
      <c r="F13" s="52">
        <v>0</v>
      </c>
      <c r="G13" s="52">
        <f t="shared" si="2"/>
        <v>2</v>
      </c>
      <c r="H13" s="31">
        <f t="shared" si="3"/>
        <v>48.76</v>
      </c>
      <c r="I13" s="52">
        <v>0</v>
      </c>
      <c r="J13" s="68">
        <v>8</v>
      </c>
      <c r="K13" s="52">
        <v>1</v>
      </c>
      <c r="L13" s="52">
        <v>12</v>
      </c>
      <c r="M13" s="50">
        <f t="shared" si="0"/>
        <v>24</v>
      </c>
      <c r="N13" s="68">
        <f t="shared" si="1"/>
        <v>681.12</v>
      </c>
    </row>
    <row r="14" spans="1:14" ht="22.5">
      <c r="A14" s="52" t="s">
        <v>111</v>
      </c>
      <c r="B14" s="52">
        <v>10</v>
      </c>
      <c r="C14" s="52">
        <v>5</v>
      </c>
      <c r="D14" s="52">
        <v>3</v>
      </c>
      <c r="E14" s="52">
        <v>3</v>
      </c>
      <c r="F14" s="52">
        <v>1</v>
      </c>
      <c r="G14" s="52">
        <f t="shared" si="2"/>
        <v>22</v>
      </c>
      <c r="H14" s="31">
        <f t="shared" si="3"/>
        <v>1473.6899999999998</v>
      </c>
      <c r="I14" s="52">
        <v>0</v>
      </c>
      <c r="J14" s="68">
        <v>10</v>
      </c>
      <c r="K14" s="52">
        <v>1</v>
      </c>
      <c r="L14" s="52">
        <v>12</v>
      </c>
      <c r="M14" s="50">
        <f t="shared" si="0"/>
        <v>264</v>
      </c>
      <c r="N14" s="68">
        <f t="shared" si="1"/>
        <v>17804.28</v>
      </c>
    </row>
    <row r="15" spans="1:14" ht="33.75">
      <c r="A15" s="52" t="s">
        <v>112</v>
      </c>
      <c r="B15" s="52">
        <v>10</v>
      </c>
      <c r="C15" s="52">
        <v>10</v>
      </c>
      <c r="D15" s="52">
        <v>0</v>
      </c>
      <c r="E15" s="52">
        <v>10</v>
      </c>
      <c r="F15" s="52">
        <v>2</v>
      </c>
      <c r="G15" s="52">
        <f t="shared" si="2"/>
        <v>32</v>
      </c>
      <c r="H15" s="31">
        <f t="shared" si="3"/>
        <v>2086.2599999999998</v>
      </c>
      <c r="I15" s="52">
        <v>0</v>
      </c>
      <c r="J15" s="68">
        <v>5</v>
      </c>
      <c r="K15" s="52">
        <v>1</v>
      </c>
      <c r="L15" s="52">
        <v>12</v>
      </c>
      <c r="M15" s="50">
        <f t="shared" si="0"/>
        <v>384</v>
      </c>
      <c r="N15" s="68">
        <f t="shared" si="1"/>
        <v>25095.119999999995</v>
      </c>
    </row>
    <row r="16" spans="1:14" ht="22.5">
      <c r="A16" s="52" t="s">
        <v>113</v>
      </c>
      <c r="B16" s="52">
        <v>1</v>
      </c>
      <c r="C16" s="52">
        <v>1</v>
      </c>
      <c r="D16" s="52">
        <v>2</v>
      </c>
      <c r="E16" s="52">
        <v>1</v>
      </c>
      <c r="F16" s="52">
        <v>1</v>
      </c>
      <c r="G16" s="52">
        <f t="shared" si="2"/>
        <v>6</v>
      </c>
      <c r="H16" s="31">
        <f t="shared" si="3"/>
        <v>486.21000000000004</v>
      </c>
      <c r="I16" s="52">
        <v>0</v>
      </c>
      <c r="J16" s="68">
        <v>3</v>
      </c>
      <c r="K16" s="52">
        <v>1</v>
      </c>
      <c r="L16" s="52">
        <v>12</v>
      </c>
      <c r="M16" s="50">
        <f t="shared" si="0"/>
        <v>72</v>
      </c>
      <c r="N16" s="68">
        <f t="shared" si="1"/>
        <v>5870.52</v>
      </c>
    </row>
    <row r="17" spans="1:14" ht="23.25" thickBot="1">
      <c r="A17" s="56" t="s">
        <v>114</v>
      </c>
      <c r="B17" s="56">
        <v>5</v>
      </c>
      <c r="C17" s="56">
        <v>3</v>
      </c>
      <c r="D17" s="56">
        <v>0</v>
      </c>
      <c r="E17" s="56">
        <v>1</v>
      </c>
      <c r="F17" s="56">
        <v>1</v>
      </c>
      <c r="G17" s="56">
        <f t="shared" si="2"/>
        <v>10</v>
      </c>
      <c r="H17" s="120">
        <f t="shared" si="3"/>
        <v>655.93</v>
      </c>
      <c r="I17" s="56">
        <v>0</v>
      </c>
      <c r="J17" s="83">
        <v>5</v>
      </c>
      <c r="K17" s="56">
        <v>1</v>
      </c>
      <c r="L17" s="56">
        <v>12</v>
      </c>
      <c r="M17" s="61">
        <f t="shared" si="0"/>
        <v>120</v>
      </c>
      <c r="N17" s="83">
        <f t="shared" si="1"/>
        <v>7931.16</v>
      </c>
    </row>
    <row r="18" spans="1:14" customFormat="1" ht="9" customHeight="1" thickTop="1"/>
    <row r="19" spans="1:14" ht="15.75" customHeight="1">
      <c r="A19" s="52" t="s">
        <v>73</v>
      </c>
      <c r="B19" s="52">
        <f>SUM(B7:B17)</f>
        <v>33</v>
      </c>
      <c r="C19" s="52">
        <f t="shared" ref="C19:J19" si="4">SUM(C7:C17)</f>
        <v>25</v>
      </c>
      <c r="D19" s="52">
        <f t="shared" si="4"/>
        <v>12</v>
      </c>
      <c r="E19" s="52">
        <f t="shared" si="4"/>
        <v>20</v>
      </c>
      <c r="F19" s="52">
        <f t="shared" si="4"/>
        <v>7</v>
      </c>
      <c r="G19" s="52">
        <f t="shared" si="4"/>
        <v>97</v>
      </c>
      <c r="H19" s="68">
        <f t="shared" si="4"/>
        <v>6625.64</v>
      </c>
      <c r="I19" s="52">
        <f t="shared" si="4"/>
        <v>0</v>
      </c>
      <c r="J19" s="68">
        <f t="shared" si="4"/>
        <v>55</v>
      </c>
      <c r="K19" s="69" t="s">
        <v>25</v>
      </c>
      <c r="L19" s="69" t="s">
        <v>25</v>
      </c>
      <c r="M19" s="69" t="s">
        <v>25</v>
      </c>
      <c r="N19" s="63" t="s">
        <v>25</v>
      </c>
    </row>
    <row r="20" spans="1:14" ht="15.75" customHeight="1" thickBot="1">
      <c r="A20" s="52" t="s">
        <v>63</v>
      </c>
      <c r="B20" s="52" t="s">
        <v>25</v>
      </c>
      <c r="C20" s="52" t="s">
        <v>25</v>
      </c>
      <c r="D20" s="52" t="s">
        <v>25</v>
      </c>
      <c r="E20" s="52" t="s">
        <v>25</v>
      </c>
      <c r="F20" s="52" t="s">
        <v>25</v>
      </c>
      <c r="G20" s="52" t="s">
        <v>25</v>
      </c>
      <c r="H20" s="63">
        <f>SUMPRODUCT(H7:H17,K7:K17,L7:L17)</f>
        <v>146817.12</v>
      </c>
      <c r="I20" s="52">
        <v>0</v>
      </c>
      <c r="J20" s="63">
        <f>SUMPRODUCT(J7:J17,K7:K17,L7:L17)</f>
        <v>2772</v>
      </c>
      <c r="K20" s="52">
        <v>9</v>
      </c>
      <c r="L20" s="52">
        <v>12</v>
      </c>
      <c r="M20" s="70">
        <f>SUM(M7:M17)</f>
        <v>2124</v>
      </c>
      <c r="N20" s="83">
        <f>SUM(N7:N17)</f>
        <v>149589.12</v>
      </c>
    </row>
    <row r="21" spans="1:14" ht="12" thickTop="1"/>
    <row r="22" spans="1:14">
      <c r="A22" s="10" t="s">
        <v>64</v>
      </c>
    </row>
    <row r="23" spans="1:14">
      <c r="A23" s="10" t="s">
        <v>143</v>
      </c>
    </row>
    <row r="24" spans="1:14">
      <c r="A24" s="10" t="s">
        <v>144</v>
      </c>
    </row>
  </sheetData>
  <mergeCells count="4">
    <mergeCell ref="B4:J4"/>
    <mergeCell ref="K4:N4"/>
    <mergeCell ref="A1:N1"/>
    <mergeCell ref="A2:N2"/>
  </mergeCells>
  <phoneticPr fontId="1" type="noConversion"/>
  <printOptions horizontalCentered="1" verticalCentered="1"/>
  <pageMargins left="0.75" right="0.75" top="1" bottom="1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4"/>
  <sheetViews>
    <sheetView topLeftCell="G1" zoomScaleNormal="75" workbookViewId="0">
      <selection activeCell="F14" sqref="F14"/>
    </sheetView>
  </sheetViews>
  <sheetFormatPr defaultColWidth="7.21875" defaultRowHeight="14.25"/>
  <cols>
    <col min="1" max="1" width="13.88671875" style="71" customWidth="1"/>
    <col min="2" max="2" width="10.109375" style="71" customWidth="1"/>
    <col min="3" max="3" width="9.109375" style="71" customWidth="1"/>
    <col min="4" max="4" width="10.33203125" style="71" customWidth="1"/>
    <col min="5" max="5" width="5.33203125" style="71" customWidth="1"/>
    <col min="6" max="6" width="8.77734375" style="73" customWidth="1"/>
    <col min="7" max="7" width="7.21875" style="73" customWidth="1"/>
    <col min="8" max="8" width="7.6640625" style="73" customWidth="1"/>
    <col min="9" max="9" width="6" style="71" customWidth="1"/>
    <col min="10" max="10" width="10.33203125" style="71" customWidth="1"/>
    <col min="11" max="11" width="7.6640625" style="71" customWidth="1"/>
    <col min="12" max="12" width="7.21875" style="71" customWidth="1"/>
    <col min="13" max="13" width="9.6640625" style="71" customWidth="1"/>
    <col min="14" max="14" width="7.21875" style="71" customWidth="1"/>
    <col min="15" max="16384" width="7.21875" style="72"/>
  </cols>
  <sheetData>
    <row r="1" spans="1:256">
      <c r="A1" s="5" t="s">
        <v>116</v>
      </c>
      <c r="B1" s="5"/>
      <c r="C1" s="5"/>
      <c r="D1" s="5"/>
      <c r="E1" s="5"/>
      <c r="F1" s="4"/>
      <c r="G1" s="4"/>
      <c r="H1" s="4"/>
      <c r="I1" s="5"/>
      <c r="J1" s="5"/>
      <c r="K1" s="5"/>
      <c r="L1" s="5"/>
      <c r="M1" s="5"/>
    </row>
    <row r="2" spans="1:256">
      <c r="A2" s="5" t="s">
        <v>46</v>
      </c>
      <c r="B2" s="5"/>
      <c r="C2" s="5"/>
      <c r="D2" s="5"/>
      <c r="E2" s="5"/>
      <c r="F2" s="4"/>
      <c r="G2" s="4"/>
      <c r="H2" s="4"/>
      <c r="I2" s="5"/>
      <c r="J2" s="5"/>
      <c r="K2" s="5"/>
      <c r="L2" s="5"/>
      <c r="M2" s="5"/>
    </row>
    <row r="3" spans="1:256">
      <c r="A3" s="10"/>
      <c r="B3" s="5" t="s">
        <v>1</v>
      </c>
      <c r="C3" s="10"/>
      <c r="D3" s="10"/>
      <c r="E3" s="10"/>
      <c r="F3" s="10"/>
      <c r="G3" s="10"/>
      <c r="H3" s="10"/>
      <c r="I3" s="10"/>
      <c r="J3" s="5" t="s">
        <v>2</v>
      </c>
      <c r="K3" s="5"/>
      <c r="L3" s="5"/>
      <c r="M3" s="5"/>
    </row>
    <row r="4" spans="1:256" ht="33.75">
      <c r="A4" s="52" t="s">
        <v>3</v>
      </c>
      <c r="B4" s="115" t="s">
        <v>136</v>
      </c>
      <c r="C4" s="115" t="s">
        <v>146</v>
      </c>
      <c r="D4" s="115" t="s">
        <v>137</v>
      </c>
      <c r="E4" s="115" t="s">
        <v>47</v>
      </c>
      <c r="F4" s="115" t="s">
        <v>48</v>
      </c>
      <c r="G4" s="115" t="s">
        <v>6</v>
      </c>
      <c r="H4" s="115" t="s">
        <v>49</v>
      </c>
      <c r="I4" s="115" t="s">
        <v>50</v>
      </c>
      <c r="J4" s="115" t="s">
        <v>140</v>
      </c>
      <c r="K4" s="115" t="s">
        <v>124</v>
      </c>
      <c r="L4" s="115" t="s">
        <v>10</v>
      </c>
      <c r="M4" s="115" t="s">
        <v>51</v>
      </c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pans="1:256">
      <c r="A5" s="57" t="s">
        <v>52</v>
      </c>
      <c r="B5" s="95">
        <v>7</v>
      </c>
      <c r="C5" s="95">
        <v>3</v>
      </c>
      <c r="D5" s="95">
        <v>1</v>
      </c>
      <c r="E5" s="50">
        <f>B5+C5+D5</f>
        <v>11</v>
      </c>
      <c r="F5" s="63">
        <f>(B5*71.02)+(C5*81.56)+(D5*84.61)</f>
        <v>826.43</v>
      </c>
      <c r="G5" s="50">
        <v>0</v>
      </c>
      <c r="H5" s="63">
        <v>1</v>
      </c>
      <c r="I5" s="50">
        <v>1</v>
      </c>
      <c r="J5" s="50">
        <v>1</v>
      </c>
      <c r="K5" s="50">
        <v>1</v>
      </c>
      <c r="L5" s="50">
        <f t="shared" ref="L5:L13" si="0">(E5*I5*J5*K5)</f>
        <v>11</v>
      </c>
      <c r="M5" s="63">
        <f t="shared" ref="M5:M14" si="1">(F5+G5+H5)*I5*J5*K5</f>
        <v>827.43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</row>
    <row r="6" spans="1:256" ht="22.5">
      <c r="A6" s="52" t="s">
        <v>53</v>
      </c>
      <c r="B6" s="95">
        <v>5</v>
      </c>
      <c r="C6" s="95">
        <v>1</v>
      </c>
      <c r="D6" s="95">
        <v>2</v>
      </c>
      <c r="E6" s="50">
        <f t="shared" ref="E6:E14" si="2">B6+C6+D6</f>
        <v>8</v>
      </c>
      <c r="F6" s="63">
        <f t="shared" ref="F6:F14" si="3">(B6*71.02)+(C6*81.56)+(D6*84.61)</f>
        <v>605.88</v>
      </c>
      <c r="G6" s="50">
        <v>0</v>
      </c>
      <c r="H6" s="63">
        <v>5</v>
      </c>
      <c r="I6" s="50">
        <v>1</v>
      </c>
      <c r="J6" s="50">
        <v>1</v>
      </c>
      <c r="K6" s="50">
        <v>10</v>
      </c>
      <c r="L6" s="50">
        <f t="shared" si="0"/>
        <v>80</v>
      </c>
      <c r="M6" s="63">
        <f t="shared" si="1"/>
        <v>6108.8</v>
      </c>
    </row>
    <row r="7" spans="1:256" ht="49.5" customHeight="1">
      <c r="A7" s="52" t="s">
        <v>54</v>
      </c>
      <c r="B7" s="95">
        <v>1</v>
      </c>
      <c r="C7" s="95">
        <v>0</v>
      </c>
      <c r="D7" s="95">
        <v>0</v>
      </c>
      <c r="E7" s="50">
        <f t="shared" si="2"/>
        <v>1</v>
      </c>
      <c r="F7" s="63">
        <f t="shared" si="3"/>
        <v>71.02</v>
      </c>
      <c r="G7" s="50">
        <v>0</v>
      </c>
      <c r="H7" s="63">
        <v>0</v>
      </c>
      <c r="I7" s="50">
        <v>4</v>
      </c>
      <c r="J7" s="50">
        <v>16</v>
      </c>
      <c r="K7" s="50">
        <v>10</v>
      </c>
      <c r="L7" s="50">
        <f t="shared" si="0"/>
        <v>640</v>
      </c>
      <c r="M7" s="63">
        <f t="shared" si="1"/>
        <v>45452.799999999996</v>
      </c>
    </row>
    <row r="8" spans="1:256" ht="21" customHeight="1">
      <c r="A8" s="52" t="s">
        <v>55</v>
      </c>
      <c r="B8" s="96">
        <v>4</v>
      </c>
      <c r="C8" s="96">
        <v>0</v>
      </c>
      <c r="D8" s="96">
        <v>0</v>
      </c>
      <c r="E8" s="50">
        <f t="shared" si="2"/>
        <v>4</v>
      </c>
      <c r="F8" s="63">
        <f t="shared" si="3"/>
        <v>284.08</v>
      </c>
      <c r="G8" s="97">
        <v>0</v>
      </c>
      <c r="H8" s="98">
        <v>0</v>
      </c>
      <c r="I8" s="97">
        <v>4</v>
      </c>
      <c r="J8" s="97">
        <v>16</v>
      </c>
      <c r="K8" s="50">
        <v>10</v>
      </c>
      <c r="L8" s="50">
        <f t="shared" si="0"/>
        <v>2560</v>
      </c>
      <c r="M8" s="63">
        <f t="shared" si="1"/>
        <v>181811.19999999998</v>
      </c>
    </row>
    <row r="9" spans="1:256" ht="51" customHeight="1">
      <c r="A9" s="52" t="s">
        <v>56</v>
      </c>
      <c r="B9" s="96">
        <v>2</v>
      </c>
      <c r="C9" s="96">
        <v>0</v>
      </c>
      <c r="D9" s="96">
        <v>1</v>
      </c>
      <c r="E9" s="50">
        <f t="shared" si="2"/>
        <v>3</v>
      </c>
      <c r="F9" s="63">
        <f t="shared" si="3"/>
        <v>226.64999999999998</v>
      </c>
      <c r="G9" s="97">
        <v>0</v>
      </c>
      <c r="H9" s="98">
        <v>5</v>
      </c>
      <c r="I9" s="97">
        <v>4</v>
      </c>
      <c r="J9" s="97">
        <v>1</v>
      </c>
      <c r="K9" s="50">
        <v>10</v>
      </c>
      <c r="L9" s="50">
        <f t="shared" si="0"/>
        <v>120</v>
      </c>
      <c r="M9" s="63">
        <f t="shared" si="1"/>
        <v>9266</v>
      </c>
    </row>
    <row r="10" spans="1:256" ht="33.75">
      <c r="A10" s="52" t="s">
        <v>57</v>
      </c>
      <c r="B10" s="95">
        <v>1</v>
      </c>
      <c r="C10" s="95">
        <v>0</v>
      </c>
      <c r="D10" s="95">
        <v>0</v>
      </c>
      <c r="E10" s="50">
        <f t="shared" si="2"/>
        <v>1</v>
      </c>
      <c r="F10" s="63">
        <f t="shared" si="3"/>
        <v>71.02</v>
      </c>
      <c r="G10" s="50">
        <v>0</v>
      </c>
      <c r="H10" s="63">
        <v>1</v>
      </c>
      <c r="I10" s="50">
        <v>4</v>
      </c>
      <c r="J10" s="50">
        <v>1</v>
      </c>
      <c r="K10" s="50">
        <v>10</v>
      </c>
      <c r="L10" s="50">
        <f t="shared" si="0"/>
        <v>40</v>
      </c>
      <c r="M10" s="63">
        <f t="shared" si="1"/>
        <v>2880.7999999999997</v>
      </c>
    </row>
    <row r="11" spans="1:256" ht="22.5">
      <c r="A11" s="52" t="s">
        <v>58</v>
      </c>
      <c r="B11" s="95">
        <v>8</v>
      </c>
      <c r="C11" s="95">
        <v>0</v>
      </c>
      <c r="D11" s="95">
        <v>1</v>
      </c>
      <c r="E11" s="50">
        <f t="shared" si="2"/>
        <v>9</v>
      </c>
      <c r="F11" s="63">
        <f t="shared" si="3"/>
        <v>652.77</v>
      </c>
      <c r="G11" s="50">
        <v>0</v>
      </c>
      <c r="H11" s="63">
        <v>0</v>
      </c>
      <c r="I11" s="50">
        <v>1</v>
      </c>
      <c r="J11" s="50">
        <v>1</v>
      </c>
      <c r="K11" s="50">
        <v>1</v>
      </c>
      <c r="L11" s="50">
        <f t="shared" si="0"/>
        <v>9</v>
      </c>
      <c r="M11" s="63">
        <f t="shared" si="1"/>
        <v>652.77</v>
      </c>
    </row>
    <row r="12" spans="1:256">
      <c r="A12" s="52" t="s">
        <v>59</v>
      </c>
      <c r="B12" s="95">
        <v>3</v>
      </c>
      <c r="C12" s="95">
        <v>0</v>
      </c>
      <c r="D12" s="95">
        <v>0</v>
      </c>
      <c r="E12" s="50">
        <f t="shared" si="2"/>
        <v>3</v>
      </c>
      <c r="F12" s="63">
        <f t="shared" si="3"/>
        <v>213.06</v>
      </c>
      <c r="G12" s="50">
        <v>0</v>
      </c>
      <c r="H12" s="63">
        <v>0</v>
      </c>
      <c r="I12" s="50">
        <v>1</v>
      </c>
      <c r="J12" s="50">
        <v>1</v>
      </c>
      <c r="K12" s="50">
        <v>1</v>
      </c>
      <c r="L12" s="50">
        <f t="shared" si="0"/>
        <v>3</v>
      </c>
      <c r="M12" s="63">
        <f t="shared" si="1"/>
        <v>213.06</v>
      </c>
    </row>
    <row r="13" spans="1:256" ht="22.5">
      <c r="A13" s="52" t="s">
        <v>60</v>
      </c>
      <c r="B13" s="95">
        <v>4</v>
      </c>
      <c r="C13" s="95">
        <v>3</v>
      </c>
      <c r="D13" s="95">
        <v>1</v>
      </c>
      <c r="E13" s="50">
        <f t="shared" si="2"/>
        <v>8</v>
      </c>
      <c r="F13" s="63">
        <f t="shared" si="3"/>
        <v>613.37</v>
      </c>
      <c r="G13" s="50">
        <v>0</v>
      </c>
      <c r="H13" s="63">
        <v>1</v>
      </c>
      <c r="I13" s="50">
        <v>1</v>
      </c>
      <c r="J13" s="50">
        <v>1</v>
      </c>
      <c r="K13" s="50">
        <v>1</v>
      </c>
      <c r="L13" s="50">
        <f t="shared" si="0"/>
        <v>8</v>
      </c>
      <c r="M13" s="63">
        <f t="shared" si="1"/>
        <v>614.37</v>
      </c>
    </row>
    <row r="14" spans="1:256" ht="23.25" thickBot="1">
      <c r="A14" s="56" t="s">
        <v>61</v>
      </c>
      <c r="B14" s="99">
        <v>5</v>
      </c>
      <c r="C14" s="99">
        <v>0</v>
      </c>
      <c r="D14" s="99">
        <v>1</v>
      </c>
      <c r="E14" s="61">
        <f t="shared" si="2"/>
        <v>6</v>
      </c>
      <c r="F14" s="64">
        <f t="shared" si="3"/>
        <v>439.71</v>
      </c>
      <c r="G14" s="61">
        <v>0</v>
      </c>
      <c r="H14" s="64">
        <v>3</v>
      </c>
      <c r="I14" s="61">
        <v>1</v>
      </c>
      <c r="J14" s="61">
        <v>1</v>
      </c>
      <c r="K14" s="61">
        <v>1</v>
      </c>
      <c r="L14" s="61">
        <f>(E14*K14)</f>
        <v>6</v>
      </c>
      <c r="M14" s="64">
        <f t="shared" si="1"/>
        <v>442.71</v>
      </c>
    </row>
    <row r="15" spans="1:256" ht="15" thickTop="1">
      <c r="A15" s="58"/>
      <c r="B15" s="59"/>
      <c r="C15" s="59"/>
      <c r="D15" s="59"/>
      <c r="E15" s="59"/>
      <c r="F15" s="62"/>
      <c r="G15" s="59"/>
      <c r="H15" s="62"/>
      <c r="I15" s="59"/>
      <c r="J15" s="59"/>
      <c r="K15" s="59"/>
      <c r="L15" s="59"/>
      <c r="M15" s="62"/>
    </row>
    <row r="16" spans="1:256" ht="22.5">
      <c r="A16" s="52" t="s">
        <v>62</v>
      </c>
      <c r="B16" s="50">
        <f>SUM(B5:B14)</f>
        <v>40</v>
      </c>
      <c r="C16" s="50">
        <f>SUM(C5:C14)</f>
        <v>7</v>
      </c>
      <c r="D16" s="50">
        <f>SUM(D5:D14)</f>
        <v>7</v>
      </c>
      <c r="E16" s="30">
        <f>SUM(E5:E14)</f>
        <v>54</v>
      </c>
      <c r="F16" s="63">
        <f>SUM(F5:F14)</f>
        <v>4003.99</v>
      </c>
      <c r="G16" s="50">
        <f>SUM(G6:G14)</f>
        <v>0</v>
      </c>
      <c r="H16" s="31">
        <f>SUM(H5:H14)</f>
        <v>16</v>
      </c>
      <c r="I16" s="50" t="s">
        <v>24</v>
      </c>
      <c r="J16" s="50" t="s">
        <v>24</v>
      </c>
      <c r="K16" s="50">
        <v>10</v>
      </c>
      <c r="L16" s="30" t="s">
        <v>25</v>
      </c>
      <c r="M16" s="63" t="s">
        <v>25</v>
      </c>
    </row>
    <row r="17" spans="1:18">
      <c r="A17" s="52" t="s">
        <v>63</v>
      </c>
      <c r="B17" s="30" t="s">
        <v>25</v>
      </c>
      <c r="C17" s="30" t="s">
        <v>25</v>
      </c>
      <c r="D17" s="30"/>
      <c r="E17" s="30" t="s">
        <v>25</v>
      </c>
      <c r="F17" s="63">
        <f>SUMPRODUCT(F5:F14,I5:I14,J5:J14,K5:K14)</f>
        <v>247974.93999999994</v>
      </c>
      <c r="G17" s="30">
        <v>0</v>
      </c>
      <c r="H17" s="63">
        <f>SUMPRODUCT(H5:H14,K5:K14,I5:I14,J5:J14)</f>
        <v>295</v>
      </c>
      <c r="I17" s="30" t="s">
        <v>25</v>
      </c>
      <c r="J17" s="30">
        <v>16</v>
      </c>
      <c r="K17" s="50">
        <v>10</v>
      </c>
      <c r="L17" s="30">
        <f>SUM(L$5:L$14)</f>
        <v>3477</v>
      </c>
      <c r="M17" s="63">
        <f>SUM(M5:M14)</f>
        <v>248269.93999999994</v>
      </c>
      <c r="R17" s="71"/>
    </row>
    <row r="18" spans="1:18">
      <c r="A18" s="11"/>
      <c r="B18" s="9"/>
      <c r="C18" s="9"/>
      <c r="D18" s="9"/>
      <c r="E18" s="6"/>
      <c r="F18" s="8"/>
      <c r="G18" s="8"/>
      <c r="H18" s="8"/>
      <c r="I18" s="9"/>
      <c r="J18" s="9"/>
      <c r="K18" s="9"/>
      <c r="L18" s="116"/>
      <c r="M18" s="9"/>
    </row>
    <row r="19" spans="1:18">
      <c r="A19" s="102" t="s">
        <v>64</v>
      </c>
      <c r="B19" s="10"/>
      <c r="C19" s="10"/>
      <c r="D19" s="10"/>
      <c r="E19" s="10"/>
      <c r="F19" s="14"/>
      <c r="G19" s="14"/>
      <c r="H19" s="14"/>
      <c r="I19" s="10"/>
      <c r="J19" s="10"/>
      <c r="K19" s="10"/>
      <c r="L19" s="10"/>
      <c r="M19" s="10"/>
    </row>
    <row r="20" spans="1:18">
      <c r="A20" s="10"/>
      <c r="B20" s="10"/>
      <c r="C20" s="10"/>
      <c r="D20" s="10"/>
      <c r="E20" s="10"/>
      <c r="F20" s="14"/>
      <c r="G20" s="14"/>
      <c r="H20" s="14"/>
      <c r="I20" s="10"/>
      <c r="J20" s="10"/>
      <c r="K20" s="10"/>
      <c r="L20" s="10"/>
      <c r="M20" s="10"/>
    </row>
    <row r="21" spans="1:18">
      <c r="A21" s="10"/>
      <c r="B21" s="10"/>
      <c r="C21" s="10"/>
      <c r="D21" s="10"/>
      <c r="E21" s="10"/>
      <c r="F21" s="14"/>
      <c r="G21" s="14"/>
      <c r="H21" s="14"/>
      <c r="I21" s="10"/>
      <c r="J21" s="10"/>
      <c r="K21" s="10"/>
      <c r="L21" s="10"/>
      <c r="M21" s="10"/>
    </row>
    <row r="22" spans="1:18">
      <c r="A22" s="10"/>
      <c r="B22" s="10"/>
      <c r="C22" s="10"/>
      <c r="D22" s="10"/>
      <c r="E22" s="10"/>
      <c r="F22" s="14"/>
      <c r="G22" s="14"/>
      <c r="H22" s="14"/>
      <c r="I22" s="10"/>
      <c r="J22" s="10"/>
      <c r="K22" s="10"/>
      <c r="L22" s="10"/>
      <c r="M22" s="10"/>
    </row>
    <row r="23" spans="1:18">
      <c r="A23" s="10"/>
      <c r="B23" s="10"/>
      <c r="C23" s="10"/>
      <c r="D23" s="10"/>
      <c r="E23" s="10"/>
      <c r="F23" s="14"/>
      <c r="G23" s="14"/>
      <c r="H23" s="14"/>
      <c r="I23" s="10"/>
      <c r="J23" s="10"/>
      <c r="K23" s="10"/>
      <c r="L23" s="10"/>
      <c r="M23" s="10"/>
    </row>
    <row r="24" spans="1:18">
      <c r="A24" s="10"/>
      <c r="B24" s="10"/>
      <c r="C24" s="10"/>
      <c r="D24" s="10"/>
      <c r="E24" s="10"/>
      <c r="F24" s="14"/>
      <c r="G24" s="14"/>
      <c r="H24" s="14"/>
      <c r="I24" s="10"/>
      <c r="J24" s="10"/>
      <c r="K24" s="10"/>
      <c r="L24" s="10"/>
      <c r="M24" s="10"/>
    </row>
  </sheetData>
  <phoneticPr fontId="1" type="noConversion"/>
  <printOptions horizontalCentered="1" verticalCentered="1"/>
  <pageMargins left="0.75" right="0.75" top="1" bottom="1" header="0.5" footer="0.5"/>
  <pageSetup scale="8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abSelected="1" workbookViewId="0">
      <selection activeCell="E7" sqref="E7:K7"/>
    </sheetView>
  </sheetViews>
  <sheetFormatPr defaultColWidth="7.21875" defaultRowHeight="12.75"/>
  <cols>
    <col min="1" max="1" width="11.77734375" style="76" customWidth="1"/>
    <col min="2" max="2" width="9.5546875" style="75" customWidth="1"/>
    <col min="3" max="4" width="8.88671875" style="75" customWidth="1"/>
    <col min="5" max="5" width="7.21875" style="75" customWidth="1"/>
    <col min="6" max="6" width="9.88671875" style="77" customWidth="1"/>
    <col min="7" max="8" width="7.21875" style="77" customWidth="1"/>
    <col min="9" max="16384" width="7.21875" style="75"/>
  </cols>
  <sheetData>
    <row r="1" spans="1:11">
      <c r="A1" s="5" t="s">
        <v>45</v>
      </c>
      <c r="B1" s="100"/>
      <c r="C1" s="100"/>
      <c r="D1" s="100"/>
      <c r="E1" s="100"/>
      <c r="F1" s="101"/>
      <c r="G1" s="101"/>
      <c r="H1" s="101"/>
      <c r="I1" s="100"/>
      <c r="J1" s="100"/>
      <c r="K1" s="100"/>
    </row>
    <row r="2" spans="1:11">
      <c r="A2" s="5" t="s">
        <v>65</v>
      </c>
      <c r="B2" s="100"/>
      <c r="C2" s="100"/>
      <c r="D2" s="100"/>
      <c r="E2" s="100"/>
      <c r="F2" s="101"/>
      <c r="G2" s="101"/>
      <c r="H2" s="101"/>
      <c r="I2" s="100"/>
      <c r="J2" s="100"/>
      <c r="K2" s="100"/>
    </row>
    <row r="3" spans="1:11">
      <c r="A3" s="102"/>
      <c r="B3" s="100"/>
      <c r="C3" s="103"/>
      <c r="D3" s="103"/>
      <c r="E3" s="100"/>
      <c r="F3" s="101"/>
      <c r="G3" s="100"/>
      <c r="H3" s="101"/>
      <c r="I3" s="100"/>
      <c r="J3" s="100"/>
      <c r="K3" s="100"/>
    </row>
    <row r="4" spans="1:11">
      <c r="A4" s="102"/>
      <c r="B4" s="104" t="s">
        <v>34</v>
      </c>
      <c r="C4" s="105"/>
      <c r="D4" s="105"/>
      <c r="E4" s="105"/>
      <c r="F4" s="106"/>
      <c r="G4" s="106"/>
      <c r="H4" s="107"/>
      <c r="I4" s="104" t="s">
        <v>2</v>
      </c>
      <c r="J4" s="105"/>
      <c r="K4" s="108"/>
    </row>
    <row r="5" spans="1:11" ht="33.75">
      <c r="A5" s="57" t="s">
        <v>3</v>
      </c>
      <c r="B5" s="94" t="s">
        <v>136</v>
      </c>
      <c r="C5" s="94" t="s">
        <v>146</v>
      </c>
      <c r="D5" s="94" t="s">
        <v>137</v>
      </c>
      <c r="E5" s="94" t="s">
        <v>47</v>
      </c>
      <c r="F5" s="94" t="s">
        <v>66</v>
      </c>
      <c r="G5" s="94" t="s">
        <v>6</v>
      </c>
      <c r="H5" s="94" t="s">
        <v>49</v>
      </c>
      <c r="I5" s="94" t="s">
        <v>9</v>
      </c>
      <c r="J5" s="94" t="s">
        <v>10</v>
      </c>
      <c r="K5" s="94" t="s">
        <v>51</v>
      </c>
    </row>
    <row r="6" spans="1:11">
      <c r="A6" s="57" t="s">
        <v>68</v>
      </c>
      <c r="B6" s="95">
        <v>10</v>
      </c>
      <c r="C6" s="95">
        <v>1</v>
      </c>
      <c r="D6" s="95">
        <v>5</v>
      </c>
      <c r="E6" s="50">
        <f>B6+C6+D6</f>
        <v>16</v>
      </c>
      <c r="F6" s="63">
        <f>(B6*71.02)+(C6*81.56)+(D6*84.61)</f>
        <v>1214.81</v>
      </c>
      <c r="G6" s="50">
        <v>0</v>
      </c>
      <c r="H6" s="50">
        <v>0</v>
      </c>
      <c r="I6" s="50">
        <v>1</v>
      </c>
      <c r="J6" s="50">
        <f>E6*I6</f>
        <v>16</v>
      </c>
      <c r="K6" s="50">
        <f t="shared" ref="K6:K15" si="0">(F6+G6+H6)*I6</f>
        <v>1214.81</v>
      </c>
    </row>
    <row r="7" spans="1:11" ht="22.5">
      <c r="A7" s="57" t="s">
        <v>147</v>
      </c>
      <c r="B7" s="95">
        <v>5</v>
      </c>
      <c r="C7" s="95">
        <v>0</v>
      </c>
      <c r="D7" s="95">
        <v>4</v>
      </c>
      <c r="E7" s="50">
        <f>B7+C7+D7</f>
        <v>9</v>
      </c>
      <c r="F7" s="63">
        <f>(B7*71.02)+(C7*81.56)+(D7*84.61)</f>
        <v>693.54</v>
      </c>
      <c r="G7" s="50">
        <v>0</v>
      </c>
      <c r="H7" s="50">
        <v>0</v>
      </c>
      <c r="I7" s="50">
        <v>1</v>
      </c>
      <c r="J7" s="50">
        <f>E7*I7</f>
        <v>9</v>
      </c>
      <c r="K7" s="50">
        <f>(F7+G7+H7)*I7</f>
        <v>693.54</v>
      </c>
    </row>
    <row r="8" spans="1:11" ht="22.5">
      <c r="A8" s="57" t="s">
        <v>53</v>
      </c>
      <c r="B8" s="95">
        <v>4</v>
      </c>
      <c r="C8" s="95">
        <v>1</v>
      </c>
      <c r="D8" s="95">
        <v>1</v>
      </c>
      <c r="E8" s="50">
        <f t="shared" ref="E8:E15" si="1">B8+C8+D8</f>
        <v>6</v>
      </c>
      <c r="F8" s="63">
        <f t="shared" ref="F8:F15" si="2">(B8*71.02)+(C8*81.56)+(D8*84.61)</f>
        <v>450.25</v>
      </c>
      <c r="G8" s="50">
        <v>0</v>
      </c>
      <c r="H8" s="50">
        <v>7</v>
      </c>
      <c r="I8" s="50">
        <v>3</v>
      </c>
      <c r="J8" s="50">
        <f t="shared" ref="J8:J15" si="3">(E8*I8)</f>
        <v>18</v>
      </c>
      <c r="K8" s="50">
        <f t="shared" si="0"/>
        <v>1371.75</v>
      </c>
    </row>
    <row r="9" spans="1:11" ht="22.5">
      <c r="A9" s="57" t="s">
        <v>69</v>
      </c>
      <c r="B9" s="95">
        <v>5</v>
      </c>
      <c r="C9" s="95">
        <v>0</v>
      </c>
      <c r="D9" s="95">
        <v>1</v>
      </c>
      <c r="E9" s="50">
        <f t="shared" si="1"/>
        <v>6</v>
      </c>
      <c r="F9" s="63">
        <f t="shared" si="2"/>
        <v>439.71</v>
      </c>
      <c r="G9" s="50">
        <v>0</v>
      </c>
      <c r="H9" s="50">
        <v>2</v>
      </c>
      <c r="I9" s="50">
        <v>6</v>
      </c>
      <c r="J9" s="50">
        <f t="shared" si="3"/>
        <v>36</v>
      </c>
      <c r="K9" s="50">
        <f t="shared" si="0"/>
        <v>2650.2599999999998</v>
      </c>
    </row>
    <row r="10" spans="1:11" ht="33.75">
      <c r="A10" s="57" t="s">
        <v>70</v>
      </c>
      <c r="B10" s="95">
        <v>1</v>
      </c>
      <c r="C10" s="95">
        <v>0</v>
      </c>
      <c r="D10" s="95">
        <v>0</v>
      </c>
      <c r="E10" s="50">
        <f t="shared" si="1"/>
        <v>1</v>
      </c>
      <c r="F10" s="63">
        <f t="shared" si="2"/>
        <v>71.02</v>
      </c>
      <c r="G10" s="50">
        <v>0</v>
      </c>
      <c r="H10" s="50">
        <v>0</v>
      </c>
      <c r="I10" s="50">
        <v>9</v>
      </c>
      <c r="J10" s="50">
        <f t="shared" si="3"/>
        <v>9</v>
      </c>
      <c r="K10" s="50">
        <f t="shared" si="0"/>
        <v>639.17999999999995</v>
      </c>
    </row>
    <row r="11" spans="1:11" ht="33.75">
      <c r="A11" s="57" t="s">
        <v>71</v>
      </c>
      <c r="B11" s="95">
        <v>1</v>
      </c>
      <c r="C11" s="95">
        <v>0</v>
      </c>
      <c r="D11" s="95">
        <v>0</v>
      </c>
      <c r="E11" s="50">
        <f t="shared" si="1"/>
        <v>1</v>
      </c>
      <c r="F11" s="63">
        <f t="shared" si="2"/>
        <v>71.02</v>
      </c>
      <c r="G11" s="50">
        <v>0</v>
      </c>
      <c r="H11" s="50">
        <v>2</v>
      </c>
      <c r="I11" s="50">
        <v>9</v>
      </c>
      <c r="J11" s="50">
        <f t="shared" si="3"/>
        <v>9</v>
      </c>
      <c r="K11" s="50">
        <f t="shared" si="0"/>
        <v>657.18</v>
      </c>
    </row>
    <row r="12" spans="1:11">
      <c r="A12" s="57" t="s">
        <v>55</v>
      </c>
      <c r="B12" s="95">
        <v>5</v>
      </c>
      <c r="C12" s="95">
        <v>0</v>
      </c>
      <c r="D12" s="95">
        <v>0</v>
      </c>
      <c r="E12" s="50">
        <f t="shared" si="1"/>
        <v>5</v>
      </c>
      <c r="F12" s="63">
        <f t="shared" si="2"/>
        <v>355.09999999999997</v>
      </c>
      <c r="G12" s="50">
        <v>0</v>
      </c>
      <c r="H12" s="50">
        <v>0</v>
      </c>
      <c r="I12" s="50">
        <v>9</v>
      </c>
      <c r="J12" s="50">
        <f t="shared" si="3"/>
        <v>45</v>
      </c>
      <c r="K12" s="50">
        <f t="shared" si="0"/>
        <v>3195.8999999999996</v>
      </c>
    </row>
    <row r="13" spans="1:11" ht="33.75">
      <c r="A13" s="109" t="s">
        <v>72</v>
      </c>
      <c r="B13" s="95">
        <v>3</v>
      </c>
      <c r="C13" s="95">
        <v>0</v>
      </c>
      <c r="D13" s="95">
        <v>1</v>
      </c>
      <c r="E13" s="50">
        <f t="shared" si="1"/>
        <v>4</v>
      </c>
      <c r="F13" s="63">
        <f t="shared" si="2"/>
        <v>297.67</v>
      </c>
      <c r="G13" s="50">
        <v>0</v>
      </c>
      <c r="H13" s="50">
        <v>5</v>
      </c>
      <c r="I13" s="50">
        <v>9</v>
      </c>
      <c r="J13" s="50">
        <f t="shared" si="3"/>
        <v>36</v>
      </c>
      <c r="K13" s="50">
        <f t="shared" si="0"/>
        <v>2724.03</v>
      </c>
    </row>
    <row r="14" spans="1:11" ht="22.5">
      <c r="A14" s="57" t="s">
        <v>60</v>
      </c>
      <c r="B14" s="95">
        <v>3</v>
      </c>
      <c r="C14" s="95">
        <v>1</v>
      </c>
      <c r="D14" s="95">
        <v>1</v>
      </c>
      <c r="E14" s="50">
        <f t="shared" si="1"/>
        <v>5</v>
      </c>
      <c r="F14" s="63">
        <f t="shared" si="2"/>
        <v>379.23</v>
      </c>
      <c r="G14" s="69">
        <v>0</v>
      </c>
      <c r="H14" s="69">
        <v>1</v>
      </c>
      <c r="I14" s="50">
        <v>2</v>
      </c>
      <c r="J14" s="50">
        <f t="shared" si="3"/>
        <v>10</v>
      </c>
      <c r="K14" s="50">
        <f t="shared" si="0"/>
        <v>760.46</v>
      </c>
    </row>
    <row r="15" spans="1:11" ht="23.25" thickBot="1">
      <c r="A15" s="110" t="s">
        <v>58</v>
      </c>
      <c r="B15" s="99">
        <v>5</v>
      </c>
      <c r="C15" s="99">
        <v>0</v>
      </c>
      <c r="D15" s="99">
        <v>0</v>
      </c>
      <c r="E15" s="61">
        <f t="shared" si="1"/>
        <v>5</v>
      </c>
      <c r="F15" s="64">
        <f t="shared" si="2"/>
        <v>355.09999999999997</v>
      </c>
      <c r="G15" s="111">
        <v>0</v>
      </c>
      <c r="H15" s="111">
        <v>0</v>
      </c>
      <c r="I15" s="61">
        <v>1</v>
      </c>
      <c r="J15" s="61">
        <f t="shared" si="3"/>
        <v>5</v>
      </c>
      <c r="K15" s="61">
        <f t="shared" si="0"/>
        <v>355.09999999999997</v>
      </c>
    </row>
    <row r="16" spans="1:11" ht="13.5" thickTop="1">
      <c r="A16" s="112"/>
      <c r="B16" s="113"/>
      <c r="C16" s="113"/>
      <c r="D16" s="113"/>
      <c r="E16" s="59"/>
      <c r="F16" s="24"/>
      <c r="G16" s="114"/>
      <c r="H16" s="114"/>
      <c r="I16" s="114"/>
      <c r="J16" s="59"/>
      <c r="K16" s="114"/>
    </row>
    <row r="17" spans="1:16">
      <c r="A17" s="57" t="s">
        <v>73</v>
      </c>
      <c r="B17" s="50">
        <f>SUM(B6:B15)</f>
        <v>42</v>
      </c>
      <c r="C17" s="50">
        <f>SUM(C6:C15)</f>
        <v>3</v>
      </c>
      <c r="D17" s="50"/>
      <c r="E17" s="50">
        <f>SUM(E6:E15)</f>
        <v>58</v>
      </c>
      <c r="F17" s="50">
        <f>SUM(F6:F15)</f>
        <v>4327.45</v>
      </c>
      <c r="G17" s="50">
        <v>0</v>
      </c>
      <c r="H17" s="50">
        <f>SUM(H6:H15)</f>
        <v>17</v>
      </c>
      <c r="I17" s="50">
        <v>9</v>
      </c>
      <c r="J17" s="30" t="s">
        <v>25</v>
      </c>
      <c r="K17" s="30" t="s">
        <v>25</v>
      </c>
    </row>
    <row r="18" spans="1:16">
      <c r="A18" s="57" t="s">
        <v>63</v>
      </c>
      <c r="B18" s="30" t="s">
        <v>25</v>
      </c>
      <c r="C18" s="30" t="s">
        <v>25</v>
      </c>
      <c r="D18" s="30"/>
      <c r="E18" s="30" t="s">
        <v>25</v>
      </c>
      <c r="F18" s="63">
        <f>SUMPRODUCT(F3:F15,I3:I15)</f>
        <v>14164.210000000001</v>
      </c>
      <c r="G18" s="30">
        <v>0</v>
      </c>
      <c r="H18" s="63">
        <f>SUMPRODUCT(H3:H15,I3:I15)</f>
        <v>98</v>
      </c>
      <c r="I18" s="50">
        <v>9</v>
      </c>
      <c r="J18" s="30">
        <f>SUM(J6:J15)</f>
        <v>193</v>
      </c>
      <c r="K18" s="31">
        <f>SUM(K6:K15)</f>
        <v>14262.210000000001</v>
      </c>
      <c r="P18" s="12"/>
    </row>
    <row r="19" spans="1:16">
      <c r="A19" s="78"/>
      <c r="B19" s="79"/>
      <c r="C19" s="79"/>
      <c r="D19" s="79"/>
      <c r="E19" s="80"/>
      <c r="F19" s="81"/>
      <c r="G19" s="81"/>
      <c r="H19" s="81"/>
      <c r="I19" s="79"/>
      <c r="J19" s="82"/>
      <c r="K19" s="79"/>
    </row>
    <row r="20" spans="1:16">
      <c r="A20" s="76" t="s">
        <v>64</v>
      </c>
    </row>
  </sheetData>
  <phoneticPr fontId="1" type="noConversion"/>
  <printOptions horizontalCentered="1" verticalCentered="1"/>
  <pageMargins left="0.75" right="0.75" top="1" bottom="1" header="0.5" footer="0.5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Cert</vt:lpstr>
      <vt:lpstr>PLT</vt:lpstr>
      <vt:lpstr>In use</vt:lpstr>
      <vt:lpstr>Ag Cert</vt:lpstr>
      <vt:lpstr>Agency PLT</vt:lpstr>
      <vt:lpstr>Ag In use</vt:lpstr>
      <vt:lpstr>'Ag Cert'!Print_Area</vt:lpstr>
      <vt:lpstr>Cert!Print_Area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ckerwin</cp:lastModifiedBy>
  <cp:lastPrinted>2007-11-28T00:49:59Z</cp:lastPrinted>
  <dcterms:created xsi:type="dcterms:W3CDTF">2004-08-16T00:46:20Z</dcterms:created>
  <dcterms:modified xsi:type="dcterms:W3CDTF">2012-04-05T19:12:26Z</dcterms:modified>
</cp:coreProperties>
</file>