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5" yWindow="45" windowWidth="17025" windowHeight="10350"/>
  </bookViews>
  <sheets>
    <sheet name="exhibit 1" sheetId="1" r:id="rId1"/>
    <sheet name="Summary" sheetId="3" r:id="rId2"/>
    <sheet name="Misc" sheetId="4" r:id="rId3"/>
  </sheets>
  <definedNames>
    <definedName name="\average">'exhibit 1'!$U$95:$V$309</definedName>
    <definedName name="\j">'exhibit 1'!#REF!</definedName>
    <definedName name="\m">'exhibit 1'!#REF!</definedName>
    <definedName name="criteria1">'exhibit 1'!#REF!</definedName>
    <definedName name="criteria2">'exhibit 1'!$Z$37:$Z$40</definedName>
    <definedName name="database1">'exhibit 1'!$U$93:$V$309</definedName>
    <definedName name="_xlnm.Print_Area" localSheetId="0">'exhibit 1'!$A$13:$Z$441</definedName>
    <definedName name="_xlnm.Print_Area">'exhibit 1'!$A$13:$S$309</definedName>
    <definedName name="Print_Area_MI" localSheetId="0">'exhibit 1'!$A$13:$L$309</definedName>
    <definedName name="PRINT_AREA_MI">'exhibit 1'!$A$13:$L$309</definedName>
    <definedName name="_xlnm.Print_Titles" localSheetId="0">'exhibit 1'!$13:$19</definedName>
    <definedName name="range1">'exhibit 1'!$U$93:$V$309</definedName>
    <definedName name="Type1">'exhibit 1'!$S$2:$S$3</definedName>
    <definedName name="Type2">'exhibit 1'!$S$4:$S$5</definedName>
  </definedNames>
  <calcPr calcId="125725"/>
</workbook>
</file>

<file path=xl/calcChain.xml><?xml version="1.0" encoding="utf-8"?>
<calcChain xmlns="http://schemas.openxmlformats.org/spreadsheetml/2006/main">
  <c r="S443" i="1"/>
  <c r="U361"/>
  <c r="P7"/>
  <c r="O433" s="1"/>
  <c r="R2"/>
  <c r="P2"/>
  <c r="P3"/>
  <c r="P4"/>
  <c r="P5"/>
  <c r="O153"/>
  <c r="P153" s="1"/>
  <c r="P6"/>
  <c r="P9" s="1"/>
  <c r="P421"/>
  <c r="P422"/>
  <c r="V10"/>
  <c r="O315"/>
  <c r="P315" s="1"/>
  <c r="O316"/>
  <c r="P316" s="1"/>
  <c r="V316" s="1"/>
  <c r="O322"/>
  <c r="P322" s="1"/>
  <c r="P324"/>
  <c r="P326"/>
  <c r="P328"/>
  <c r="C336"/>
  <c r="P305"/>
  <c r="P192"/>
  <c r="P194"/>
  <c r="P195"/>
  <c r="P197"/>
  <c r="P201"/>
  <c r="P203"/>
  <c r="P204"/>
  <c r="P206"/>
  <c r="O208"/>
  <c r="P208" s="1"/>
  <c r="P213"/>
  <c r="P217"/>
  <c r="P218"/>
  <c r="P219" s="1"/>
  <c r="P221"/>
  <c r="P222" s="1"/>
  <c r="P225"/>
  <c r="P228"/>
  <c r="P231"/>
  <c r="P234"/>
  <c r="P235"/>
  <c r="P238"/>
  <c r="P242"/>
  <c r="P246"/>
  <c r="P247"/>
  <c r="P250"/>
  <c r="P255"/>
  <c r="P259"/>
  <c r="P262"/>
  <c r="P264"/>
  <c r="P265"/>
  <c r="P146"/>
  <c r="O47"/>
  <c r="P47"/>
  <c r="O48"/>
  <c r="P48" s="1"/>
  <c r="V48" s="1"/>
  <c r="V49" s="1"/>
  <c r="P53"/>
  <c r="P70"/>
  <c r="P76"/>
  <c r="P77" s="1"/>
  <c r="V2"/>
  <c r="V3"/>
  <c r="V4"/>
  <c r="V5"/>
  <c r="O128" s="1"/>
  <c r="V6"/>
  <c r="V7"/>
  <c r="O133"/>
  <c r="P133"/>
  <c r="V133" s="1"/>
  <c r="O135"/>
  <c r="P135" s="1"/>
  <c r="Y135" s="1"/>
  <c r="P30"/>
  <c r="P33"/>
  <c r="P36"/>
  <c r="P37" s="1"/>
  <c r="B5" i="3" s="1"/>
  <c r="O21" i="1"/>
  <c r="P21"/>
  <c r="P22" s="1"/>
  <c r="P24" s="1"/>
  <c r="B4" i="3" s="1"/>
  <c r="V409" i="1"/>
  <c r="V411"/>
  <c r="V412"/>
  <c r="V415"/>
  <c r="V421"/>
  <c r="V422"/>
  <c r="V324"/>
  <c r="V326"/>
  <c r="V328"/>
  <c r="V277"/>
  <c r="V280"/>
  <c r="V299"/>
  <c r="V300" s="1"/>
  <c r="V305"/>
  <c r="V192"/>
  <c r="V194"/>
  <c r="V195" s="1"/>
  <c r="V198" s="1"/>
  <c r="V197"/>
  <c r="V201"/>
  <c r="V203"/>
  <c r="V204"/>
  <c r="V206"/>
  <c r="V208"/>
  <c r="V213"/>
  <c r="V217"/>
  <c r="V218"/>
  <c r="V219" s="1"/>
  <c r="V221"/>
  <c r="V222" s="1"/>
  <c r="V225"/>
  <c r="V228"/>
  <c r="V231"/>
  <c r="V234"/>
  <c r="V235"/>
  <c r="V238"/>
  <c r="V240"/>
  <c r="V242"/>
  <c r="V243"/>
  <c r="V247"/>
  <c r="V250"/>
  <c r="V255"/>
  <c r="V259"/>
  <c r="V262"/>
  <c r="V264"/>
  <c r="V268"/>
  <c r="V269"/>
  <c r="V146"/>
  <c r="V44"/>
  <c r="V45" s="1"/>
  <c r="V47"/>
  <c r="V53"/>
  <c r="V56"/>
  <c r="V61"/>
  <c r="V68"/>
  <c r="V70" s="1"/>
  <c r="V72"/>
  <c r="V73" s="1"/>
  <c r="V76"/>
  <c r="V77" s="1"/>
  <c r="V79"/>
  <c r="V85"/>
  <c r="V87"/>
  <c r="V94"/>
  <c r="V97"/>
  <c r="V100"/>
  <c r="V102"/>
  <c r="V104"/>
  <c r="V106"/>
  <c r="V110"/>
  <c r="V114"/>
  <c r="V123"/>
  <c r="V128"/>
  <c r="V129" s="1"/>
  <c r="V132"/>
  <c r="V134"/>
  <c r="V135"/>
  <c r="V30"/>
  <c r="V33"/>
  <c r="V36"/>
  <c r="V21"/>
  <c r="V22" s="1"/>
  <c r="V24" s="1"/>
  <c r="Y433"/>
  <c r="Y434"/>
  <c r="Y435" s="1"/>
  <c r="Y430"/>
  <c r="Y431" s="1"/>
  <c r="Y398"/>
  <c r="Y399"/>
  <c r="Y400"/>
  <c r="Y403"/>
  <c r="Y404"/>
  <c r="Y405"/>
  <c r="Y417"/>
  <c r="Y421"/>
  <c r="Y422" s="1"/>
  <c r="Y387"/>
  <c r="Y389"/>
  <c r="Y354"/>
  <c r="Y356"/>
  <c r="Y357"/>
  <c r="Y365"/>
  <c r="Y366"/>
  <c r="Y369"/>
  <c r="Y370" s="1"/>
  <c r="Y373"/>
  <c r="Y374" s="1"/>
  <c r="Y315"/>
  <c r="Y316"/>
  <c r="Y317"/>
  <c r="Y320" s="1"/>
  <c r="Y318"/>
  <c r="Y319"/>
  <c r="Y322"/>
  <c r="Y324"/>
  <c r="Y326"/>
  <c r="Y328"/>
  <c r="Y332"/>
  <c r="Y333" s="1"/>
  <c r="Y336"/>
  <c r="Y337" s="1"/>
  <c r="Y340"/>
  <c r="Y341" s="1"/>
  <c r="Y343"/>
  <c r="Y344" s="1"/>
  <c r="Y282"/>
  <c r="Y286"/>
  <c r="Y287"/>
  <c r="Y294"/>
  <c r="Y296"/>
  <c r="Y303"/>
  <c r="Y305"/>
  <c r="Y306" s="1"/>
  <c r="Y290"/>
  <c r="Y291" s="1"/>
  <c r="Y192"/>
  <c r="Y194"/>
  <c r="Y195"/>
  <c r="Y197"/>
  <c r="Y198"/>
  <c r="Y201"/>
  <c r="Y203"/>
  <c r="Y204"/>
  <c r="Y206"/>
  <c r="Y212"/>
  <c r="Y213"/>
  <c r="Y217"/>
  <c r="Y218"/>
  <c r="Y219" s="1"/>
  <c r="Y221"/>
  <c r="Y222" s="1"/>
  <c r="Y225"/>
  <c r="Y228"/>
  <c r="Y231"/>
  <c r="Y234"/>
  <c r="Y238"/>
  <c r="Y242"/>
  <c r="Y247"/>
  <c r="Y250"/>
  <c r="Y252"/>
  <c r="Y255"/>
  <c r="Y256"/>
  <c r="Y259"/>
  <c r="Y262"/>
  <c r="Y264"/>
  <c r="Y265"/>
  <c r="Y145"/>
  <c r="Y146"/>
  <c r="Y149" s="1"/>
  <c r="Y147"/>
  <c r="Y148"/>
  <c r="Y153"/>
  <c r="Y154" s="1"/>
  <c r="Y158"/>
  <c r="Y159" s="1"/>
  <c r="Y162"/>
  <c r="Y164"/>
  <c r="Y166"/>
  <c r="Y168"/>
  <c r="Y170"/>
  <c r="Y173"/>
  <c r="Y175"/>
  <c r="Y179"/>
  <c r="Y183"/>
  <c r="Y47"/>
  <c r="Y48"/>
  <c r="Y49" s="1"/>
  <c r="Y52"/>
  <c r="Y53"/>
  <c r="Y61"/>
  <c r="Y64"/>
  <c r="Y65"/>
  <c r="Y68"/>
  <c r="Y70"/>
  <c r="Y76"/>
  <c r="Y77"/>
  <c r="Y80"/>
  <c r="Y82"/>
  <c r="Y88"/>
  <c r="Y117"/>
  <c r="Y121"/>
  <c r="Y133"/>
  <c r="Y30"/>
  <c r="Y33"/>
  <c r="Y36"/>
  <c r="Y21"/>
  <c r="Y22" s="1"/>
  <c r="Y24" s="1"/>
  <c r="T8" i="4"/>
  <c r="T4"/>
  <c r="T19"/>
  <c r="T15"/>
  <c r="L20"/>
  <c r="L9"/>
  <c r="W299" i="1"/>
  <c r="U299"/>
  <c r="Z433"/>
  <c r="Z434"/>
  <c r="Z435" s="1"/>
  <c r="Z430"/>
  <c r="Z431" s="1"/>
  <c r="X433"/>
  <c r="X434"/>
  <c r="X435"/>
  <c r="X437" s="1"/>
  <c r="X430"/>
  <c r="X431"/>
  <c r="M434"/>
  <c r="N434"/>
  <c r="Z282"/>
  <c r="Z286"/>
  <c r="Z287" s="1"/>
  <c r="Z294"/>
  <c r="Z296"/>
  <c r="Z303"/>
  <c r="Z305"/>
  <c r="Z306"/>
  <c r="Z290"/>
  <c r="Z291"/>
  <c r="Z398"/>
  <c r="Z399"/>
  <c r="Z400"/>
  <c r="Z403"/>
  <c r="Z404"/>
  <c r="Z405"/>
  <c r="Z417"/>
  <c r="Z421"/>
  <c r="Z422" s="1"/>
  <c r="Z387"/>
  <c r="Z389"/>
  <c r="Z354"/>
  <c r="Z356"/>
  <c r="Z357"/>
  <c r="Z365"/>
  <c r="Z366"/>
  <c r="Z369"/>
  <c r="Z370"/>
  <c r="Z373"/>
  <c r="Z374"/>
  <c r="Z315"/>
  <c r="Z316"/>
  <c r="Z317"/>
  <c r="Z318"/>
  <c r="Z319"/>
  <c r="Z320"/>
  <c r="Z322"/>
  <c r="Z324"/>
  <c r="Z329" s="1"/>
  <c r="Z326"/>
  <c r="Z328"/>
  <c r="Z332"/>
  <c r="Z333" s="1"/>
  <c r="Z336"/>
  <c r="Z337" s="1"/>
  <c r="Z340"/>
  <c r="Z341" s="1"/>
  <c r="Z343"/>
  <c r="Z344" s="1"/>
  <c r="Q192"/>
  <c r="R192"/>
  <c r="Z192"/>
  <c r="Q194"/>
  <c r="R194"/>
  <c r="Z194" s="1"/>
  <c r="Q197"/>
  <c r="R197"/>
  <c r="Z197"/>
  <c r="Q201"/>
  <c r="R201"/>
  <c r="Z201" s="1"/>
  <c r="Z203"/>
  <c r="Q204"/>
  <c r="R204"/>
  <c r="Z204" s="1"/>
  <c r="Q206"/>
  <c r="R206"/>
  <c r="Z206"/>
  <c r="Q208"/>
  <c r="R208"/>
  <c r="Z208" s="1"/>
  <c r="Z212"/>
  <c r="Z213"/>
  <c r="Z214"/>
  <c r="Z217"/>
  <c r="Z218"/>
  <c r="Z219" s="1"/>
  <c r="Z221"/>
  <c r="Z222" s="1"/>
  <c r="Q225"/>
  <c r="R225"/>
  <c r="Z225"/>
  <c r="Q228"/>
  <c r="R228"/>
  <c r="Z228" s="1"/>
  <c r="Z235" s="1"/>
  <c r="Q231"/>
  <c r="R231"/>
  <c r="Z231"/>
  <c r="Q234"/>
  <c r="R234"/>
  <c r="Z234" s="1"/>
  <c r="Q238"/>
  <c r="R238"/>
  <c r="Z238"/>
  <c r="Q242"/>
  <c r="R242"/>
  <c r="Z242" s="1"/>
  <c r="Z247"/>
  <c r="Q250"/>
  <c r="R250"/>
  <c r="Z250" s="1"/>
  <c r="Z252"/>
  <c r="Q255"/>
  <c r="R255"/>
  <c r="Z255" s="1"/>
  <c r="Q259"/>
  <c r="R259"/>
  <c r="Z259"/>
  <c r="Q262"/>
  <c r="R262"/>
  <c r="Z262" s="1"/>
  <c r="Z265" s="1"/>
  <c r="Q264"/>
  <c r="R264"/>
  <c r="Z264"/>
  <c r="Z145"/>
  <c r="Z146"/>
  <c r="Z147"/>
  <c r="Z148"/>
  <c r="Z153"/>
  <c r="Z154"/>
  <c r="Z158"/>
  <c r="Z159"/>
  <c r="Z162"/>
  <c r="Z164"/>
  <c r="Z166"/>
  <c r="Z168"/>
  <c r="Z170"/>
  <c r="Z173"/>
  <c r="Z175"/>
  <c r="Z179"/>
  <c r="Z183" s="1"/>
  <c r="Z47"/>
  <c r="Z48"/>
  <c r="Z49"/>
  <c r="Z52"/>
  <c r="Q53"/>
  <c r="R53"/>
  <c r="Z53"/>
  <c r="Z61"/>
  <c r="Z64"/>
  <c r="Z65" s="1"/>
  <c r="Z68"/>
  <c r="Z70" s="1"/>
  <c r="Z76"/>
  <c r="Z77" s="1"/>
  <c r="Z80"/>
  <c r="Z82"/>
  <c r="Q87"/>
  <c r="Z88"/>
  <c r="Z117"/>
  <c r="Z121"/>
  <c r="Z133"/>
  <c r="Q135"/>
  <c r="R135"/>
  <c r="Z135" s="1"/>
  <c r="Q30"/>
  <c r="R30"/>
  <c r="Z30"/>
  <c r="Z33"/>
  <c r="Q36"/>
  <c r="R36"/>
  <c r="Z36"/>
  <c r="Q21"/>
  <c r="R21"/>
  <c r="Z21" s="1"/>
  <c r="Z22" s="1"/>
  <c r="Z24" s="1"/>
  <c r="X282"/>
  <c r="X286"/>
  <c r="X287"/>
  <c r="X294"/>
  <c r="X296"/>
  <c r="X303"/>
  <c r="X305"/>
  <c r="X290"/>
  <c r="X291"/>
  <c r="X398"/>
  <c r="X399"/>
  <c r="X400"/>
  <c r="X403"/>
  <c r="X406" s="1"/>
  <c r="X404"/>
  <c r="X405"/>
  <c r="X417"/>
  <c r="X421"/>
  <c r="X422"/>
  <c r="X387"/>
  <c r="X389"/>
  <c r="X354"/>
  <c r="X356"/>
  <c r="X357" s="1"/>
  <c r="X365"/>
  <c r="X366" s="1"/>
  <c r="X369"/>
  <c r="X370" s="1"/>
  <c r="X373"/>
  <c r="X374" s="1"/>
  <c r="X315"/>
  <c r="X320" s="1"/>
  <c r="X316"/>
  <c r="X317"/>
  <c r="X318"/>
  <c r="X319"/>
  <c r="X322"/>
  <c r="X324"/>
  <c r="X326"/>
  <c r="X328"/>
  <c r="X329"/>
  <c r="X332"/>
  <c r="X333"/>
  <c r="X336"/>
  <c r="X337"/>
  <c r="X340"/>
  <c r="X341"/>
  <c r="X343"/>
  <c r="X344"/>
  <c r="X192"/>
  <c r="X194"/>
  <c r="X195" s="1"/>
  <c r="X197"/>
  <c r="X201"/>
  <c r="X209" s="1"/>
  <c r="X203"/>
  <c r="X204"/>
  <c r="X206"/>
  <c r="X208"/>
  <c r="X212"/>
  <c r="X213"/>
  <c r="X217"/>
  <c r="X218"/>
  <c r="X219"/>
  <c r="X221"/>
  <c r="X222"/>
  <c r="X225"/>
  <c r="X228"/>
  <c r="X235" s="1"/>
  <c r="X231"/>
  <c r="X234"/>
  <c r="X238"/>
  <c r="X242"/>
  <c r="X247"/>
  <c r="X250"/>
  <c r="X252"/>
  <c r="X255"/>
  <c r="X256"/>
  <c r="X259"/>
  <c r="X262"/>
  <c r="X264"/>
  <c r="X265"/>
  <c r="X145"/>
  <c r="X146"/>
  <c r="X147"/>
  <c r="X148"/>
  <c r="X153"/>
  <c r="X154"/>
  <c r="X158"/>
  <c r="X159"/>
  <c r="X162"/>
  <c r="X164"/>
  <c r="X166"/>
  <c r="X168"/>
  <c r="X170"/>
  <c r="X173"/>
  <c r="X175"/>
  <c r="X179"/>
  <c r="X183" s="1"/>
  <c r="X47"/>
  <c r="X48"/>
  <c r="X49"/>
  <c r="X52"/>
  <c r="X53"/>
  <c r="X61"/>
  <c r="X64"/>
  <c r="X65" s="1"/>
  <c r="X68"/>
  <c r="X70" s="1"/>
  <c r="X76"/>
  <c r="X77" s="1"/>
  <c r="X80"/>
  <c r="X82"/>
  <c r="X88"/>
  <c r="X117"/>
  <c r="X121"/>
  <c r="X133"/>
  <c r="X135"/>
  <c r="X30"/>
  <c r="X33"/>
  <c r="X36"/>
  <c r="X37" s="1"/>
  <c r="W300"/>
  <c r="W277"/>
  <c r="W280"/>
  <c r="Q305"/>
  <c r="R305"/>
  <c r="W305"/>
  <c r="W409"/>
  <c r="W411"/>
  <c r="W415"/>
  <c r="Q421"/>
  <c r="R421"/>
  <c r="W421"/>
  <c r="W422" s="1"/>
  <c r="Q315"/>
  <c r="R315"/>
  <c r="W315"/>
  <c r="Q316"/>
  <c r="R316"/>
  <c r="W316" s="1"/>
  <c r="Q322"/>
  <c r="R322"/>
  <c r="W322" s="1"/>
  <c r="W329" s="1"/>
  <c r="Q324"/>
  <c r="R324"/>
  <c r="W324"/>
  <c r="Q326"/>
  <c r="R326"/>
  <c r="W326" s="1"/>
  <c r="Q328"/>
  <c r="R328"/>
  <c r="W328"/>
  <c r="W192"/>
  <c r="W194"/>
  <c r="W195"/>
  <c r="W197"/>
  <c r="W198"/>
  <c r="W201"/>
  <c r="Q203"/>
  <c r="R203"/>
  <c r="W203"/>
  <c r="W204"/>
  <c r="W206"/>
  <c r="W208"/>
  <c r="W209"/>
  <c r="Q213"/>
  <c r="R213"/>
  <c r="W213" s="1"/>
  <c r="Q217"/>
  <c r="R217"/>
  <c r="W217"/>
  <c r="Q218"/>
  <c r="R218"/>
  <c r="W218" s="1"/>
  <c r="W219" s="1"/>
  <c r="Q221"/>
  <c r="R221"/>
  <c r="W221" s="1"/>
  <c r="W222" s="1"/>
  <c r="W225"/>
  <c r="W228"/>
  <c r="W231"/>
  <c r="W234"/>
  <c r="W238"/>
  <c r="W240"/>
  <c r="W242"/>
  <c r="W247"/>
  <c r="W250"/>
  <c r="W255"/>
  <c r="W259"/>
  <c r="W262"/>
  <c r="W264"/>
  <c r="W265"/>
  <c r="W268"/>
  <c r="W269"/>
  <c r="Q146"/>
  <c r="R146"/>
  <c r="W146" s="1"/>
  <c r="Q153"/>
  <c r="R153"/>
  <c r="W44"/>
  <c r="W45" s="1"/>
  <c r="Q47"/>
  <c r="Q49" s="1"/>
  <c r="R47"/>
  <c r="Q48"/>
  <c r="R48"/>
  <c r="W48" s="1"/>
  <c r="W53"/>
  <c r="W56"/>
  <c r="Q61"/>
  <c r="R61"/>
  <c r="W61"/>
  <c r="O68"/>
  <c r="R68"/>
  <c r="R70" s="1"/>
  <c r="W72"/>
  <c r="W73" s="1"/>
  <c r="Q76"/>
  <c r="R76"/>
  <c r="W79"/>
  <c r="W85"/>
  <c r="W87"/>
  <c r="W94"/>
  <c r="W97"/>
  <c r="W100"/>
  <c r="W102"/>
  <c r="W104"/>
  <c r="W106"/>
  <c r="W110"/>
  <c r="W114"/>
  <c r="W123"/>
  <c r="W128"/>
  <c r="W129" s="1"/>
  <c r="W132"/>
  <c r="Q133"/>
  <c r="R133"/>
  <c r="W133" s="1"/>
  <c r="W136" s="1"/>
  <c r="W134"/>
  <c r="W135"/>
  <c r="W30"/>
  <c r="Q33"/>
  <c r="R33"/>
  <c r="W33" s="1"/>
  <c r="W37" s="1"/>
  <c r="W36"/>
  <c r="W21"/>
  <c r="W22"/>
  <c r="W24" s="1"/>
  <c r="U300"/>
  <c r="U277"/>
  <c r="U280"/>
  <c r="U305"/>
  <c r="U409"/>
  <c r="U411"/>
  <c r="U415"/>
  <c r="U421"/>
  <c r="U422"/>
  <c r="U315"/>
  <c r="U316"/>
  <c r="U322"/>
  <c r="U324"/>
  <c r="U326"/>
  <c r="U328"/>
  <c r="U192"/>
  <c r="U194"/>
  <c r="U197"/>
  <c r="U201"/>
  <c r="U203"/>
  <c r="U204"/>
  <c r="U206"/>
  <c r="U208"/>
  <c r="U213"/>
  <c r="U217"/>
  <c r="U218"/>
  <c r="U219"/>
  <c r="U221"/>
  <c r="U222"/>
  <c r="U225"/>
  <c r="U228"/>
  <c r="U235" s="1"/>
  <c r="U231"/>
  <c r="U234"/>
  <c r="U238"/>
  <c r="U243" s="1"/>
  <c r="U240"/>
  <c r="U242"/>
  <c r="U247"/>
  <c r="U250"/>
  <c r="U255"/>
  <c r="U259"/>
  <c r="U262"/>
  <c r="U264"/>
  <c r="U268"/>
  <c r="U269" s="1"/>
  <c r="U146"/>
  <c r="U153"/>
  <c r="U154"/>
  <c r="U44"/>
  <c r="U45"/>
  <c r="U47"/>
  <c r="U48"/>
  <c r="U49" s="1"/>
  <c r="U53"/>
  <c r="U56"/>
  <c r="U61"/>
  <c r="U72"/>
  <c r="U73"/>
  <c r="U76"/>
  <c r="U77"/>
  <c r="U79"/>
  <c r="U85"/>
  <c r="U87"/>
  <c r="U94"/>
  <c r="U97"/>
  <c r="U100"/>
  <c r="U102"/>
  <c r="U104"/>
  <c r="U106"/>
  <c r="U110"/>
  <c r="U114"/>
  <c r="U123"/>
  <c r="U128"/>
  <c r="U129"/>
  <c r="U132"/>
  <c r="U133"/>
  <c r="U136" s="1"/>
  <c r="U134"/>
  <c r="U135"/>
  <c r="U30"/>
  <c r="U33"/>
  <c r="U36"/>
  <c r="U21"/>
  <c r="U22"/>
  <c r="U24" s="1"/>
  <c r="Z378"/>
  <c r="Y378"/>
  <c r="X378"/>
  <c r="Z360"/>
  <c r="Z361"/>
  <c r="Y360"/>
  <c r="Y361"/>
  <c r="X360"/>
  <c r="X361"/>
  <c r="C5"/>
  <c r="D5"/>
  <c r="E5"/>
  <c r="F5"/>
  <c r="F17" s="1"/>
  <c r="Z182"/>
  <c r="Y182"/>
  <c r="X182"/>
  <c r="Z180"/>
  <c r="Y180"/>
  <c r="X180"/>
  <c r="R49"/>
  <c r="Q77"/>
  <c r="N45"/>
  <c r="N138" s="1"/>
  <c r="N49"/>
  <c r="N62"/>
  <c r="N65"/>
  <c r="N70"/>
  <c r="N73"/>
  <c r="N77"/>
  <c r="N89"/>
  <c r="N107"/>
  <c r="N118"/>
  <c r="N124"/>
  <c r="N129"/>
  <c r="N136"/>
  <c r="M45"/>
  <c r="M138" s="1"/>
  <c r="M49"/>
  <c r="M62"/>
  <c r="M65"/>
  <c r="M70"/>
  <c r="M73"/>
  <c r="M77"/>
  <c r="M89"/>
  <c r="M107"/>
  <c r="M118"/>
  <c r="M124"/>
  <c r="M129"/>
  <c r="M136"/>
  <c r="H44"/>
  <c r="H45" s="1"/>
  <c r="H49"/>
  <c r="H52"/>
  <c r="H53"/>
  <c r="H62" s="1"/>
  <c r="H56"/>
  <c r="H61"/>
  <c r="H64"/>
  <c r="H65" s="1"/>
  <c r="H68"/>
  <c r="H70" s="1"/>
  <c r="H72"/>
  <c r="H73" s="1"/>
  <c r="H76"/>
  <c r="H77" s="1"/>
  <c r="H79"/>
  <c r="H89" s="1"/>
  <c r="H80"/>
  <c r="H82"/>
  <c r="H85"/>
  <c r="H87"/>
  <c r="H94"/>
  <c r="H97"/>
  <c r="H100"/>
  <c r="H102"/>
  <c r="H104"/>
  <c r="H106"/>
  <c r="H110"/>
  <c r="H114"/>
  <c r="H117"/>
  <c r="H121"/>
  <c r="H123"/>
  <c r="H124" s="1"/>
  <c r="H128"/>
  <c r="H129" s="1"/>
  <c r="H132"/>
  <c r="H136" s="1"/>
  <c r="H133"/>
  <c r="H134"/>
  <c r="H433"/>
  <c r="H434" s="1"/>
  <c r="H435" s="1"/>
  <c r="H430"/>
  <c r="H431" s="1"/>
  <c r="H398"/>
  <c r="H399"/>
  <c r="H400"/>
  <c r="H403"/>
  <c r="H404"/>
  <c r="H405"/>
  <c r="H409"/>
  <c r="H411"/>
  <c r="H412"/>
  <c r="H415"/>
  <c r="H417"/>
  <c r="H418" s="1"/>
  <c r="H421"/>
  <c r="H422" s="1"/>
  <c r="H387"/>
  <c r="H389"/>
  <c r="H390"/>
  <c r="H392" s="1"/>
  <c r="H354"/>
  <c r="H356"/>
  <c r="H357"/>
  <c r="H360"/>
  <c r="H361"/>
  <c r="H378"/>
  <c r="H379" s="1"/>
  <c r="H365"/>
  <c r="H366" s="1"/>
  <c r="H369"/>
  <c r="H370" s="1"/>
  <c r="H373"/>
  <c r="H374" s="1"/>
  <c r="H277"/>
  <c r="H283" s="1"/>
  <c r="H280"/>
  <c r="H282"/>
  <c r="H286"/>
  <c r="H287" s="1"/>
  <c r="H294"/>
  <c r="H296"/>
  <c r="H297"/>
  <c r="H299"/>
  <c r="H300"/>
  <c r="H303"/>
  <c r="H305"/>
  <c r="H306" s="1"/>
  <c r="H290"/>
  <c r="H291" s="1"/>
  <c r="H192"/>
  <c r="H194"/>
  <c r="H195"/>
  <c r="H197"/>
  <c r="H198"/>
  <c r="H201"/>
  <c r="H209"/>
  <c r="H212"/>
  <c r="H213"/>
  <c r="H214" s="1"/>
  <c r="H217"/>
  <c r="H218"/>
  <c r="H219"/>
  <c r="H221"/>
  <c r="H222"/>
  <c r="H225"/>
  <c r="H228"/>
  <c r="H231"/>
  <c r="H234"/>
  <c r="H238"/>
  <c r="H240"/>
  <c r="H242"/>
  <c r="H246"/>
  <c r="H247" s="1"/>
  <c r="H250"/>
  <c r="H252"/>
  <c r="H255"/>
  <c r="H259"/>
  <c r="H262"/>
  <c r="H264"/>
  <c r="H268"/>
  <c r="H269" s="1"/>
  <c r="H145"/>
  <c r="H146"/>
  <c r="H147"/>
  <c r="H148"/>
  <c r="H153"/>
  <c r="H154" s="1"/>
  <c r="H158"/>
  <c r="H159" s="1"/>
  <c r="H162"/>
  <c r="H164"/>
  <c r="H166"/>
  <c r="H168"/>
  <c r="H170"/>
  <c r="H176"/>
  <c r="H179"/>
  <c r="H183" s="1"/>
  <c r="H180"/>
  <c r="H182"/>
  <c r="H37"/>
  <c r="H21"/>
  <c r="H22"/>
  <c r="H24" s="1"/>
  <c r="Z69"/>
  <c r="Y69"/>
  <c r="X69"/>
  <c r="Q69"/>
  <c r="R69"/>
  <c r="W69" s="1"/>
  <c r="V69"/>
  <c r="U69"/>
  <c r="L322"/>
  <c r="S322" s="1"/>
  <c r="S329" s="1"/>
  <c r="L326"/>
  <c r="S326" s="1"/>
  <c r="L336"/>
  <c r="L337" s="1"/>
  <c r="R422"/>
  <c r="R329"/>
  <c r="R195"/>
  <c r="R198" s="1"/>
  <c r="R209"/>
  <c r="R219"/>
  <c r="R222"/>
  <c r="R235"/>
  <c r="R246"/>
  <c r="R247" s="1"/>
  <c r="R265"/>
  <c r="R154"/>
  <c r="R22"/>
  <c r="R24" s="1"/>
  <c r="D4" i="3" s="1"/>
  <c r="Q422" i="1"/>
  <c r="Q329"/>
  <c r="Q195"/>
  <c r="Q198" s="1"/>
  <c r="Q209"/>
  <c r="Q219"/>
  <c r="Q222"/>
  <c r="Q235"/>
  <c r="Q246"/>
  <c r="Q247" s="1"/>
  <c r="Q265"/>
  <c r="Q154"/>
  <c r="Q37"/>
  <c r="Q22"/>
  <c r="Q24"/>
  <c r="C4" i="3" s="1"/>
  <c r="L378" i="1"/>
  <c r="L379" s="1"/>
  <c r="L37"/>
  <c r="M401"/>
  <c r="M406"/>
  <c r="M412"/>
  <c r="M418"/>
  <c r="M422"/>
  <c r="M424"/>
  <c r="M390"/>
  <c r="M392"/>
  <c r="M357"/>
  <c r="M361"/>
  <c r="M381" s="1"/>
  <c r="M379"/>
  <c r="M366"/>
  <c r="M370"/>
  <c r="M374"/>
  <c r="M283"/>
  <c r="M287"/>
  <c r="M297"/>
  <c r="M300"/>
  <c r="M306"/>
  <c r="M291"/>
  <c r="M308"/>
  <c r="M195"/>
  <c r="M198"/>
  <c r="M271" s="1"/>
  <c r="M209"/>
  <c r="M214"/>
  <c r="M219"/>
  <c r="M222"/>
  <c r="M235"/>
  <c r="M243"/>
  <c r="M247"/>
  <c r="M256"/>
  <c r="M265"/>
  <c r="M269"/>
  <c r="M149"/>
  <c r="M154"/>
  <c r="M159"/>
  <c r="M171"/>
  <c r="M176"/>
  <c r="M183"/>
  <c r="M185"/>
  <c r="M37"/>
  <c r="M22"/>
  <c r="M24" s="1"/>
  <c r="N435"/>
  <c r="N431"/>
  <c r="N437"/>
  <c r="N401"/>
  <c r="N406"/>
  <c r="N412"/>
  <c r="N424" s="1"/>
  <c r="N418"/>
  <c r="N422"/>
  <c r="N390"/>
  <c r="N392"/>
  <c r="N357"/>
  <c r="N361"/>
  <c r="N381" s="1"/>
  <c r="N379"/>
  <c r="N366"/>
  <c r="N370"/>
  <c r="N374"/>
  <c r="N283"/>
  <c r="N287"/>
  <c r="N297"/>
  <c r="N300"/>
  <c r="N308" s="1"/>
  <c r="N306"/>
  <c r="N291"/>
  <c r="N195"/>
  <c r="N198"/>
  <c r="N271" s="1"/>
  <c r="N209"/>
  <c r="N214"/>
  <c r="N219"/>
  <c r="N222"/>
  <c r="N235"/>
  <c r="N243"/>
  <c r="N247"/>
  <c r="N256"/>
  <c r="N265"/>
  <c r="N269"/>
  <c r="N149"/>
  <c r="N154"/>
  <c r="N159"/>
  <c r="N171"/>
  <c r="N185" s="1"/>
  <c r="N176"/>
  <c r="N183"/>
  <c r="N37"/>
  <c r="N22"/>
  <c r="N24" s="1"/>
  <c r="T390"/>
  <c r="T392" s="1"/>
  <c r="Z379"/>
  <c r="Y379"/>
  <c r="X379"/>
  <c r="T329"/>
  <c r="T256"/>
  <c r="T247"/>
  <c r="T243"/>
  <c r="T209"/>
  <c r="T195"/>
  <c r="T198" s="1"/>
  <c r="T159"/>
  <c r="T171"/>
  <c r="T176"/>
  <c r="T183"/>
  <c r="T129"/>
  <c r="T107"/>
  <c r="T89"/>
  <c r="T77"/>
  <c r="T73"/>
  <c r="T2"/>
  <c r="Y2"/>
  <c r="T3"/>
  <c r="T4"/>
  <c r="T5"/>
  <c r="T6"/>
  <c r="T7"/>
  <c r="Z10"/>
  <c r="Z9"/>
  <c r="Z8"/>
  <c r="C5" i="3"/>
  <c r="E17" i="1"/>
  <c r="C17"/>
  <c r="K379"/>
  <c r="J379"/>
  <c r="I379"/>
  <c r="G379"/>
  <c r="F379"/>
  <c r="E379"/>
  <c r="D379"/>
  <c r="C379"/>
  <c r="Q10"/>
  <c r="Q9"/>
  <c r="Q8"/>
  <c r="H135"/>
  <c r="K36"/>
  <c r="J36"/>
  <c r="I36"/>
  <c r="H36"/>
  <c r="K33"/>
  <c r="J33"/>
  <c r="I33"/>
  <c r="H33"/>
  <c r="K30"/>
  <c r="J30"/>
  <c r="I30"/>
  <c r="H30"/>
  <c r="E10"/>
  <c r="F10" s="1"/>
  <c r="F11" s="1"/>
  <c r="D11"/>
  <c r="G11" s="1"/>
  <c r="C11"/>
  <c r="K149"/>
  <c r="J149"/>
  <c r="I149"/>
  <c r="G149"/>
  <c r="F149"/>
  <c r="E149"/>
  <c r="D149"/>
  <c r="C149"/>
  <c r="K136"/>
  <c r="J136"/>
  <c r="I136"/>
  <c r="G136"/>
  <c r="F136"/>
  <c r="E136"/>
  <c r="D136"/>
  <c r="C136"/>
  <c r="O422"/>
  <c r="N320"/>
  <c r="N329"/>
  <c r="N333"/>
  <c r="N337"/>
  <c r="N341"/>
  <c r="N344"/>
  <c r="M320"/>
  <c r="M329"/>
  <c r="M333"/>
  <c r="M337"/>
  <c r="M341"/>
  <c r="M344"/>
  <c r="H315"/>
  <c r="H320" s="1"/>
  <c r="H317"/>
  <c r="H318"/>
  <c r="H319"/>
  <c r="H316"/>
  <c r="H322"/>
  <c r="H324"/>
  <c r="H326"/>
  <c r="H328"/>
  <c r="H329" s="1"/>
  <c r="H332"/>
  <c r="H333"/>
  <c r="H336"/>
  <c r="H337"/>
  <c r="H340"/>
  <c r="H341"/>
  <c r="H343"/>
  <c r="H344"/>
  <c r="M435"/>
  <c r="G435"/>
  <c r="F435"/>
  <c r="E435"/>
  <c r="D435"/>
  <c r="C435"/>
  <c r="M431"/>
  <c r="G431"/>
  <c r="F431"/>
  <c r="E431"/>
  <c r="D431"/>
  <c r="C431"/>
  <c r="G320"/>
  <c r="G329"/>
  <c r="G333"/>
  <c r="G337"/>
  <c r="G341"/>
  <c r="G344"/>
  <c r="F320"/>
  <c r="F329"/>
  <c r="F333"/>
  <c r="F337"/>
  <c r="F341"/>
  <c r="F344"/>
  <c r="E320"/>
  <c r="E329"/>
  <c r="E333"/>
  <c r="E337"/>
  <c r="E341"/>
  <c r="E344"/>
  <c r="D320"/>
  <c r="D329"/>
  <c r="D333"/>
  <c r="D337"/>
  <c r="D341"/>
  <c r="D344"/>
  <c r="C320"/>
  <c r="C329"/>
  <c r="C333"/>
  <c r="C337"/>
  <c r="C341"/>
  <c r="C344"/>
  <c r="G37"/>
  <c r="F37"/>
  <c r="E37"/>
  <c r="D37"/>
  <c r="C37"/>
  <c r="G24"/>
  <c r="F22"/>
  <c r="F24" s="1"/>
  <c r="E22"/>
  <c r="E24" s="1"/>
  <c r="D22"/>
  <c r="D24" s="1"/>
  <c r="C22"/>
  <c r="C24" s="1"/>
  <c r="H88"/>
  <c r="K421"/>
  <c r="K422"/>
  <c r="J421"/>
  <c r="J422"/>
  <c r="I421"/>
  <c r="I422"/>
  <c r="G422"/>
  <c r="F422"/>
  <c r="E422"/>
  <c r="D422"/>
  <c r="C422"/>
  <c r="G418"/>
  <c r="F418"/>
  <c r="E418"/>
  <c r="D418"/>
  <c r="C418"/>
  <c r="G412"/>
  <c r="F412"/>
  <c r="E412"/>
  <c r="D412"/>
  <c r="C412"/>
  <c r="G406"/>
  <c r="F406"/>
  <c r="E406"/>
  <c r="D406"/>
  <c r="C406"/>
  <c r="G401"/>
  <c r="F401"/>
  <c r="E401"/>
  <c r="D401"/>
  <c r="C401"/>
  <c r="K390"/>
  <c r="K392" s="1"/>
  <c r="J390"/>
  <c r="J392" s="1"/>
  <c r="I390"/>
  <c r="I392" s="1"/>
  <c r="G390"/>
  <c r="G392" s="1"/>
  <c r="F390"/>
  <c r="F392" s="1"/>
  <c r="E390"/>
  <c r="E392" s="1"/>
  <c r="D390"/>
  <c r="D392" s="1"/>
  <c r="C390"/>
  <c r="C392" s="1"/>
  <c r="K374"/>
  <c r="J374"/>
  <c r="I374"/>
  <c r="G374"/>
  <c r="F374"/>
  <c r="E374"/>
  <c r="D374"/>
  <c r="C374"/>
  <c r="K370"/>
  <c r="J370"/>
  <c r="I370"/>
  <c r="G370"/>
  <c r="F370"/>
  <c r="E370"/>
  <c r="D370"/>
  <c r="C370"/>
  <c r="K366"/>
  <c r="J366"/>
  <c r="I366"/>
  <c r="G366"/>
  <c r="F366"/>
  <c r="E366"/>
  <c r="D366"/>
  <c r="C366"/>
  <c r="G361"/>
  <c r="F361"/>
  <c r="E361"/>
  <c r="D361"/>
  <c r="C361"/>
  <c r="G357"/>
  <c r="F357"/>
  <c r="E357"/>
  <c r="D357"/>
  <c r="C357"/>
  <c r="K344"/>
  <c r="J344"/>
  <c r="I344"/>
  <c r="K341"/>
  <c r="J341"/>
  <c r="I341"/>
  <c r="K336"/>
  <c r="K337" s="1"/>
  <c r="J336"/>
  <c r="J337" s="1"/>
  <c r="I336"/>
  <c r="I337" s="1"/>
  <c r="K333"/>
  <c r="J333"/>
  <c r="I333"/>
  <c r="K329"/>
  <c r="J329"/>
  <c r="I329"/>
  <c r="K217"/>
  <c r="K219" s="1"/>
  <c r="J217"/>
  <c r="J219" s="1"/>
  <c r="I217"/>
  <c r="I219" s="1"/>
  <c r="G219"/>
  <c r="F219"/>
  <c r="E219"/>
  <c r="D219"/>
  <c r="C219"/>
  <c r="K192"/>
  <c r="K198"/>
  <c r="J192"/>
  <c r="J198"/>
  <c r="I192"/>
  <c r="I198"/>
  <c r="G195"/>
  <c r="G198"/>
  <c r="F195"/>
  <c r="F198"/>
  <c r="E195"/>
  <c r="E198"/>
  <c r="D195"/>
  <c r="D198"/>
  <c r="C195"/>
  <c r="C198"/>
  <c r="K73"/>
  <c r="J73"/>
  <c r="I73"/>
  <c r="G73"/>
  <c r="F73"/>
  <c r="E73"/>
  <c r="D73"/>
  <c r="C73"/>
  <c r="K65"/>
  <c r="J65"/>
  <c r="I65"/>
  <c r="G65"/>
  <c r="F65"/>
  <c r="E65"/>
  <c r="D65"/>
  <c r="C65"/>
  <c r="K77"/>
  <c r="J77"/>
  <c r="I77"/>
  <c r="G77"/>
  <c r="F77"/>
  <c r="E77"/>
  <c r="D77"/>
  <c r="C77"/>
  <c r="H69"/>
  <c r="G306"/>
  <c r="F306"/>
  <c r="E306"/>
  <c r="D306"/>
  <c r="C306"/>
  <c r="G300"/>
  <c r="F300"/>
  <c r="E300"/>
  <c r="D300"/>
  <c r="C300"/>
  <c r="G297"/>
  <c r="F297"/>
  <c r="E297"/>
  <c r="D297"/>
  <c r="C297"/>
  <c r="G291"/>
  <c r="F291"/>
  <c r="E291"/>
  <c r="D291"/>
  <c r="C291"/>
  <c r="E287"/>
  <c r="G283"/>
  <c r="F283"/>
  <c r="E283"/>
  <c r="D283"/>
  <c r="C283"/>
  <c r="G265"/>
  <c r="F265"/>
  <c r="E265"/>
  <c r="D265"/>
  <c r="C265"/>
  <c r="G256"/>
  <c r="F256"/>
  <c r="E256"/>
  <c r="D256"/>
  <c r="C256"/>
  <c r="G247"/>
  <c r="F247"/>
  <c r="E247"/>
  <c r="D247"/>
  <c r="C247"/>
  <c r="G243"/>
  <c r="F243"/>
  <c r="E243"/>
  <c r="D243"/>
  <c r="C243"/>
  <c r="G235"/>
  <c r="F235"/>
  <c r="E235"/>
  <c r="D235"/>
  <c r="C235"/>
  <c r="G222"/>
  <c r="F222"/>
  <c r="E222"/>
  <c r="D222"/>
  <c r="C222"/>
  <c r="G214"/>
  <c r="F214"/>
  <c r="E214"/>
  <c r="D214"/>
  <c r="C214"/>
  <c r="G209"/>
  <c r="F209"/>
  <c r="E209"/>
  <c r="D209"/>
  <c r="C209"/>
  <c r="G176"/>
  <c r="F176"/>
  <c r="E176"/>
  <c r="D176"/>
  <c r="C176"/>
  <c r="G183"/>
  <c r="F183"/>
  <c r="E183"/>
  <c r="D183"/>
  <c r="C183"/>
  <c r="G269"/>
  <c r="F269"/>
  <c r="E269"/>
  <c r="D269"/>
  <c r="C269"/>
  <c r="G129"/>
  <c r="F129"/>
  <c r="E129"/>
  <c r="D129"/>
  <c r="C129"/>
  <c r="G124"/>
  <c r="F124"/>
  <c r="E124"/>
  <c r="D124"/>
  <c r="C124"/>
  <c r="G118"/>
  <c r="F118"/>
  <c r="E118"/>
  <c r="D118"/>
  <c r="C118"/>
  <c r="G107"/>
  <c r="F107"/>
  <c r="E107"/>
  <c r="D107"/>
  <c r="C107"/>
  <c r="G89"/>
  <c r="F89"/>
  <c r="E89"/>
  <c r="D89"/>
  <c r="C89"/>
  <c r="G62"/>
  <c r="F62"/>
  <c r="E62"/>
  <c r="D62"/>
  <c r="C62"/>
  <c r="G49"/>
  <c r="F49"/>
  <c r="E49"/>
  <c r="D49"/>
  <c r="C49"/>
  <c r="G45"/>
  <c r="F45"/>
  <c r="E45"/>
  <c r="D45"/>
  <c r="C45"/>
  <c r="K265"/>
  <c r="J265"/>
  <c r="I265"/>
  <c r="K259"/>
  <c r="J259"/>
  <c r="I259"/>
  <c r="K256"/>
  <c r="J256"/>
  <c r="I256"/>
  <c r="K250"/>
  <c r="J250"/>
  <c r="I250"/>
  <c r="K247"/>
  <c r="J247"/>
  <c r="I247"/>
  <c r="K246"/>
  <c r="J246"/>
  <c r="I246"/>
  <c r="K243"/>
  <c r="J243"/>
  <c r="I243"/>
  <c r="K238"/>
  <c r="J238"/>
  <c r="I238"/>
  <c r="K235"/>
  <c r="J235"/>
  <c r="I235"/>
  <c r="K225"/>
  <c r="J225"/>
  <c r="I225"/>
  <c r="K159"/>
  <c r="J159"/>
  <c r="I159"/>
  <c r="G159"/>
  <c r="F159"/>
  <c r="E159"/>
  <c r="D159"/>
  <c r="C159"/>
  <c r="K124"/>
  <c r="J124"/>
  <c r="I124"/>
  <c r="K107"/>
  <c r="J107"/>
  <c r="I107"/>
  <c r="K89"/>
  <c r="J89"/>
  <c r="I89"/>
  <c r="K306"/>
  <c r="J306"/>
  <c r="I306"/>
  <c r="K70"/>
  <c r="J70"/>
  <c r="I70"/>
  <c r="G70"/>
  <c r="F70"/>
  <c r="E70"/>
  <c r="D70"/>
  <c r="C70"/>
  <c r="K297"/>
  <c r="J297"/>
  <c r="I297"/>
  <c r="G287"/>
  <c r="F287"/>
  <c r="D287"/>
  <c r="C287"/>
  <c r="K201"/>
  <c r="K209" s="1"/>
  <c r="J201"/>
  <c r="J209" s="1"/>
  <c r="I201"/>
  <c r="I209" s="1"/>
  <c r="K269"/>
  <c r="J269"/>
  <c r="I269"/>
  <c r="K171"/>
  <c r="J171"/>
  <c r="I171"/>
  <c r="G171"/>
  <c r="F171"/>
  <c r="E171"/>
  <c r="D171"/>
  <c r="C171"/>
  <c r="K154"/>
  <c r="J154"/>
  <c r="I154"/>
  <c r="G154"/>
  <c r="F154"/>
  <c r="E154"/>
  <c r="D154"/>
  <c r="C154"/>
  <c r="K138"/>
  <c r="J138"/>
  <c r="I138"/>
  <c r="I21"/>
  <c r="J21"/>
  <c r="K21"/>
  <c r="T136"/>
  <c r="T138"/>
  <c r="U107"/>
  <c r="W107"/>
  <c r="W153"/>
  <c r="W154"/>
  <c r="X149"/>
  <c r="X297"/>
  <c r="U412"/>
  <c r="W412"/>
  <c r="X171"/>
  <c r="X214"/>
  <c r="X390"/>
  <c r="X392"/>
  <c r="X306"/>
  <c r="Z297"/>
  <c r="Y176"/>
  <c r="Y171"/>
  <c r="T10"/>
  <c r="X176"/>
  <c r="Z171"/>
  <c r="Y214"/>
  <c r="Y297"/>
  <c r="Z149"/>
  <c r="U195"/>
  <c r="U198"/>
  <c r="T9"/>
  <c r="D17"/>
  <c r="R37"/>
  <c r="D5" i="3"/>
  <c r="L343" i="1"/>
  <c r="L328"/>
  <c r="S328"/>
  <c r="L324"/>
  <c r="S324"/>
  <c r="H149"/>
  <c r="H265"/>
  <c r="H235"/>
  <c r="H406"/>
  <c r="H107"/>
  <c r="U209"/>
  <c r="W235"/>
  <c r="Z37"/>
  <c r="G5"/>
  <c r="L180"/>
  <c r="L52"/>
  <c r="L56"/>
  <c r="L68"/>
  <c r="L94"/>
  <c r="L100"/>
  <c r="L104"/>
  <c r="L121"/>
  <c r="L132"/>
  <c r="L134"/>
  <c r="L430"/>
  <c r="L399"/>
  <c r="L409"/>
  <c r="L421"/>
  <c r="L389"/>
  <c r="L356"/>
  <c r="L373"/>
  <c r="L316"/>
  <c r="S316"/>
  <c r="L318"/>
  <c r="L332"/>
  <c r="L340"/>
  <c r="L286"/>
  <c r="L290"/>
  <c r="L194"/>
  <c r="S194"/>
  <c r="L203"/>
  <c r="S203"/>
  <c r="L206"/>
  <c r="S206"/>
  <c r="L217"/>
  <c r="L225"/>
  <c r="L231"/>
  <c r="S231"/>
  <c r="L246"/>
  <c r="L262"/>
  <c r="S262" s="1"/>
  <c r="W76"/>
  <c r="W77" s="1"/>
  <c r="R77"/>
  <c r="Q68"/>
  <c r="U68"/>
  <c r="U70" s="1"/>
  <c r="H171"/>
  <c r="H256"/>
  <c r="H243"/>
  <c r="H401"/>
  <c r="H118"/>
  <c r="U37"/>
  <c r="U265"/>
  <c r="U329"/>
  <c r="W243"/>
  <c r="P8"/>
  <c r="O110"/>
  <c r="O117" s="1"/>
  <c r="O430"/>
  <c r="P10"/>
  <c r="O134"/>
  <c r="Z406"/>
  <c r="Y235"/>
  <c r="Y401"/>
  <c r="V37"/>
  <c r="V265"/>
  <c r="Z401"/>
  <c r="Y37"/>
  <c r="Y329"/>
  <c r="Y406"/>
  <c r="V209"/>
  <c r="X21"/>
  <c r="X22" s="1"/>
  <c r="X24" s="1"/>
  <c r="P198"/>
  <c r="O434"/>
  <c r="S134"/>
  <c r="O114"/>
  <c r="P110"/>
  <c r="R110"/>
  <c r="S217"/>
  <c r="L291"/>
  <c r="P434"/>
  <c r="V434" s="1"/>
  <c r="U434"/>
  <c r="Q434"/>
  <c r="R434"/>
  <c r="P134"/>
  <c r="Y134"/>
  <c r="R134"/>
  <c r="X134"/>
  <c r="Q134"/>
  <c r="Z134"/>
  <c r="P430"/>
  <c r="Q430"/>
  <c r="U430"/>
  <c r="U431"/>
  <c r="R430"/>
  <c r="R431" s="1"/>
  <c r="K430"/>
  <c r="K431" s="1"/>
  <c r="I430"/>
  <c r="I431" s="1"/>
  <c r="J430"/>
  <c r="J431" s="1"/>
  <c r="O166"/>
  <c r="O168"/>
  <c r="O72"/>
  <c r="L341"/>
  <c r="L344"/>
  <c r="L264"/>
  <c r="S264"/>
  <c r="L259"/>
  <c r="L234"/>
  <c r="S234" s="1"/>
  <c r="L228"/>
  <c r="S228" s="1"/>
  <c r="L218"/>
  <c r="S218" s="1"/>
  <c r="L208"/>
  <c r="S208" s="1"/>
  <c r="L204"/>
  <c r="S204" s="1"/>
  <c r="L201"/>
  <c r="L192"/>
  <c r="L299"/>
  <c r="L319"/>
  <c r="L317"/>
  <c r="L315"/>
  <c r="L365"/>
  <c r="L354"/>
  <c r="L387"/>
  <c r="L411"/>
  <c r="L400"/>
  <c r="L398"/>
  <c r="L135"/>
  <c r="S135" s="1"/>
  <c r="L133"/>
  <c r="S133" s="1"/>
  <c r="L123"/>
  <c r="L106"/>
  <c r="L102"/>
  <c r="L97"/>
  <c r="L76"/>
  <c r="L61"/>
  <c r="S61"/>
  <c r="L53"/>
  <c r="S53"/>
  <c r="L44"/>
  <c r="L182"/>
  <c r="L72"/>
  <c r="L85"/>
  <c r="L110"/>
  <c r="L128"/>
  <c r="L417"/>
  <c r="L282"/>
  <c r="L305"/>
  <c r="S305"/>
  <c r="L213"/>
  <c r="S213"/>
  <c r="L238"/>
  <c r="L252"/>
  <c r="L153"/>
  <c r="L164"/>
  <c r="L168"/>
  <c r="L21"/>
  <c r="O398"/>
  <c r="O399"/>
  <c r="O400"/>
  <c r="O409"/>
  <c r="O411"/>
  <c r="O365"/>
  <c r="O373"/>
  <c r="O332"/>
  <c r="O336"/>
  <c r="O343"/>
  <c r="O277"/>
  <c r="O280"/>
  <c r="O282"/>
  <c r="O294"/>
  <c r="O296"/>
  <c r="O303"/>
  <c r="O290"/>
  <c r="S290" s="1"/>
  <c r="S291" s="1"/>
  <c r="O212"/>
  <c r="O252"/>
  <c r="O268"/>
  <c r="O145"/>
  <c r="O162"/>
  <c r="O164"/>
  <c r="O173"/>
  <c r="O175"/>
  <c r="O79"/>
  <c r="O88"/>
  <c r="O403"/>
  <c r="O404"/>
  <c r="O405"/>
  <c r="O415"/>
  <c r="O417"/>
  <c r="O387"/>
  <c r="O389"/>
  <c r="O369"/>
  <c r="O286"/>
  <c r="S286"/>
  <c r="S287" s="1"/>
  <c r="O299"/>
  <c r="O240"/>
  <c r="O147"/>
  <c r="O148"/>
  <c r="O158"/>
  <c r="O179"/>
  <c r="O180"/>
  <c r="S180" s="1"/>
  <c r="O182"/>
  <c r="O64"/>
  <c r="O94"/>
  <c r="S94" s="1"/>
  <c r="O97"/>
  <c r="O100"/>
  <c r="O102"/>
  <c r="O104"/>
  <c r="O121"/>
  <c r="S121" s="1"/>
  <c r="O132"/>
  <c r="S132" s="1"/>
  <c r="S136"/>
  <c r="W68"/>
  <c r="W70"/>
  <c r="Q70"/>
  <c r="S246"/>
  <c r="S247" s="1"/>
  <c r="L247"/>
  <c r="S225"/>
  <c r="S235"/>
  <c r="L235"/>
  <c r="L287"/>
  <c r="L333"/>
  <c r="S332"/>
  <c r="S333" s="1"/>
  <c r="S373"/>
  <c r="S374" s="1"/>
  <c r="L374"/>
  <c r="L422"/>
  <c r="S421"/>
  <c r="S422" s="1"/>
  <c r="S409"/>
  <c r="L412"/>
  <c r="S430"/>
  <c r="S431" s="1"/>
  <c r="L431"/>
  <c r="L136"/>
  <c r="L124"/>
  <c r="L107"/>
  <c r="L70"/>
  <c r="S68"/>
  <c r="S70"/>
  <c r="L62"/>
  <c r="L179"/>
  <c r="L48"/>
  <c r="S48" s="1"/>
  <c r="L64"/>
  <c r="L79"/>
  <c r="L82"/>
  <c r="L87"/>
  <c r="L114"/>
  <c r="S114" s="1"/>
  <c r="L433"/>
  <c r="L403"/>
  <c r="L405"/>
  <c r="S405" s="1"/>
  <c r="S406" s="1"/>
  <c r="L415"/>
  <c r="L360"/>
  <c r="L280"/>
  <c r="S280" s="1"/>
  <c r="S283" s="1"/>
  <c r="L294"/>
  <c r="L303"/>
  <c r="L212"/>
  <c r="L240"/>
  <c r="S240"/>
  <c r="L250"/>
  <c r="L255"/>
  <c r="S255" s="1"/>
  <c r="S256" s="1"/>
  <c r="L145"/>
  <c r="L146"/>
  <c r="S146"/>
  <c r="L147"/>
  <c r="L148"/>
  <c r="S148" s="1"/>
  <c r="S149" s="1"/>
  <c r="L158"/>
  <c r="L173"/>
  <c r="L175"/>
  <c r="S175" s="1"/>
  <c r="L30"/>
  <c r="S30" s="1"/>
  <c r="L33"/>
  <c r="S33" s="1"/>
  <c r="L36"/>
  <c r="S36" s="1"/>
  <c r="G17"/>
  <c r="L69"/>
  <c r="S389"/>
  <c r="S399"/>
  <c r="S104"/>
  <c r="S100"/>
  <c r="L47"/>
  <c r="L80"/>
  <c r="L88"/>
  <c r="S88" s="1"/>
  <c r="S89" s="1"/>
  <c r="L117"/>
  <c r="S117" s="1"/>
  <c r="L404"/>
  <c r="L369"/>
  <c r="S369" s="1"/>
  <c r="S370" s="1"/>
  <c r="L277"/>
  <c r="L296"/>
  <c r="S296" s="1"/>
  <c r="S297" s="1"/>
  <c r="L197"/>
  <c r="S197" s="1"/>
  <c r="S198" s="1"/>
  <c r="L221"/>
  <c r="L242"/>
  <c r="S242"/>
  <c r="L268"/>
  <c r="L162"/>
  <c r="L166"/>
  <c r="S166"/>
  <c r="L170"/>
  <c r="L329"/>
  <c r="S404"/>
  <c r="S168"/>
  <c r="S277"/>
  <c r="L283"/>
  <c r="S303"/>
  <c r="S306" s="1"/>
  <c r="L306"/>
  <c r="S415"/>
  <c r="L418"/>
  <c r="S268"/>
  <c r="S269"/>
  <c r="L269"/>
  <c r="S221"/>
  <c r="S222" s="1"/>
  <c r="L222"/>
  <c r="S47"/>
  <c r="S49" s="1"/>
  <c r="L49"/>
  <c r="L159"/>
  <c r="S158"/>
  <c r="S159" s="1"/>
  <c r="S145"/>
  <c r="L149"/>
  <c r="S250"/>
  <c r="L256"/>
  <c r="S212"/>
  <c r="S214" s="1"/>
  <c r="L214"/>
  <c r="S294"/>
  <c r="L361"/>
  <c r="S433"/>
  <c r="L434"/>
  <c r="S434" s="1"/>
  <c r="S435" s="1"/>
  <c r="S437" s="1"/>
  <c r="S79"/>
  <c r="L89"/>
  <c r="P132"/>
  <c r="R132"/>
  <c r="R136"/>
  <c r="X132"/>
  <c r="X136"/>
  <c r="Q132"/>
  <c r="P104"/>
  <c r="Y104" s="1"/>
  <c r="R104"/>
  <c r="X104"/>
  <c r="Q104"/>
  <c r="Z104" s="1"/>
  <c r="P100"/>
  <c r="Y100" s="1"/>
  <c r="R100"/>
  <c r="X100"/>
  <c r="Q100"/>
  <c r="Z100" s="1"/>
  <c r="Z107" s="1"/>
  <c r="K100"/>
  <c r="I100"/>
  <c r="J100"/>
  <c r="P94"/>
  <c r="O106"/>
  <c r="R94"/>
  <c r="X94"/>
  <c r="Q94"/>
  <c r="P182"/>
  <c r="V182" s="1"/>
  <c r="V183" s="1"/>
  <c r="Q182"/>
  <c r="U182"/>
  <c r="R182"/>
  <c r="P179"/>
  <c r="R179"/>
  <c r="U179"/>
  <c r="Q179"/>
  <c r="J179"/>
  <c r="K179"/>
  <c r="I179"/>
  <c r="P148"/>
  <c r="V148" s="1"/>
  <c r="Q148"/>
  <c r="U148"/>
  <c r="R148"/>
  <c r="P240"/>
  <c r="Q240"/>
  <c r="R240"/>
  <c r="R243"/>
  <c r="X240"/>
  <c r="X243"/>
  <c r="P286"/>
  <c r="Q286"/>
  <c r="R286"/>
  <c r="R287"/>
  <c r="U286"/>
  <c r="U287"/>
  <c r="K286"/>
  <c r="K287"/>
  <c r="I286"/>
  <c r="I287"/>
  <c r="J286"/>
  <c r="J287"/>
  <c r="P389"/>
  <c r="V389"/>
  <c r="R389"/>
  <c r="Q389"/>
  <c r="W389" s="1"/>
  <c r="W390" s="1"/>
  <c r="W392" s="1"/>
  <c r="U389"/>
  <c r="P417"/>
  <c r="V417"/>
  <c r="V418" s="1"/>
  <c r="R417"/>
  <c r="Q417"/>
  <c r="W417"/>
  <c r="W418" s="1"/>
  <c r="U417"/>
  <c r="U418" s="1"/>
  <c r="J417"/>
  <c r="K417"/>
  <c r="I417"/>
  <c r="P405"/>
  <c r="V405"/>
  <c r="R405"/>
  <c r="Q405"/>
  <c r="J405"/>
  <c r="I405"/>
  <c r="U405"/>
  <c r="K405"/>
  <c r="P403"/>
  <c r="R403"/>
  <c r="Q403"/>
  <c r="U403"/>
  <c r="K403"/>
  <c r="J403"/>
  <c r="I403"/>
  <c r="O80"/>
  <c r="O82"/>
  <c r="O85"/>
  <c r="O87"/>
  <c r="P79"/>
  <c r="Q79"/>
  <c r="R79"/>
  <c r="X79"/>
  <c r="P173"/>
  <c r="Q173"/>
  <c r="R173"/>
  <c r="U173"/>
  <c r="P162"/>
  <c r="O170"/>
  <c r="Q162"/>
  <c r="R162"/>
  <c r="U162"/>
  <c r="P268"/>
  <c r="Q268"/>
  <c r="R268"/>
  <c r="R269"/>
  <c r="X268"/>
  <c r="X269"/>
  <c r="P212"/>
  <c r="Q212"/>
  <c r="U212"/>
  <c r="U214"/>
  <c r="R212"/>
  <c r="R214"/>
  <c r="J212"/>
  <c r="J214"/>
  <c r="K212"/>
  <c r="K214"/>
  <c r="I212"/>
  <c r="I214"/>
  <c r="P303"/>
  <c r="R303"/>
  <c r="R306" s="1"/>
  <c r="Q303"/>
  <c r="U303"/>
  <c r="U306"/>
  <c r="P294"/>
  <c r="Q294"/>
  <c r="R294"/>
  <c r="U294"/>
  <c r="P280"/>
  <c r="Y280"/>
  <c r="R280"/>
  <c r="Q280"/>
  <c r="X280"/>
  <c r="I280"/>
  <c r="I283" s="1"/>
  <c r="K280"/>
  <c r="K283" s="1"/>
  <c r="J280"/>
  <c r="J283" s="1"/>
  <c r="P343"/>
  <c r="Q343"/>
  <c r="R343"/>
  <c r="R344" s="1"/>
  <c r="U343"/>
  <c r="U344" s="1"/>
  <c r="P332"/>
  <c r="Q332"/>
  <c r="R332"/>
  <c r="R333" s="1"/>
  <c r="U332"/>
  <c r="U333" s="1"/>
  <c r="P365"/>
  <c r="R365"/>
  <c r="R366"/>
  <c r="Q365"/>
  <c r="J365"/>
  <c r="U365"/>
  <c r="U366"/>
  <c r="K365"/>
  <c r="I365"/>
  <c r="P409"/>
  <c r="R409"/>
  <c r="Q409"/>
  <c r="X409"/>
  <c r="K409"/>
  <c r="K412"/>
  <c r="J409"/>
  <c r="J412"/>
  <c r="I409"/>
  <c r="I412"/>
  <c r="P399"/>
  <c r="V399"/>
  <c r="Q399"/>
  <c r="R399"/>
  <c r="U399"/>
  <c r="K399"/>
  <c r="J399"/>
  <c r="I399"/>
  <c r="S21"/>
  <c r="S22"/>
  <c r="S24" s="1"/>
  <c r="L22"/>
  <c r="L24" s="1"/>
  <c r="S128"/>
  <c r="S129" s="1"/>
  <c r="L129"/>
  <c r="L77"/>
  <c r="S76"/>
  <c r="S77" s="1"/>
  <c r="L390"/>
  <c r="L392" s="1"/>
  <c r="S387"/>
  <c r="S390" s="1"/>
  <c r="S392" s="1"/>
  <c r="S365"/>
  <c r="S366"/>
  <c r="L366"/>
  <c r="S299"/>
  <c r="S300" s="1"/>
  <c r="L300"/>
  <c r="S201"/>
  <c r="S209"/>
  <c r="L209"/>
  <c r="S259"/>
  <c r="S265" s="1"/>
  <c r="L265"/>
  <c r="P168"/>
  <c r="V168"/>
  <c r="R168"/>
  <c r="U168"/>
  <c r="Q168"/>
  <c r="W168"/>
  <c r="P431"/>
  <c r="V430"/>
  <c r="V431" s="1"/>
  <c r="W434"/>
  <c r="Y110"/>
  <c r="P114"/>
  <c r="Y114" s="1"/>
  <c r="Y118" s="1"/>
  <c r="R114"/>
  <c r="X114"/>
  <c r="Q114"/>
  <c r="Z114" s="1"/>
  <c r="J114"/>
  <c r="J129" s="1"/>
  <c r="K114"/>
  <c r="K129" s="1"/>
  <c r="I114"/>
  <c r="I129" s="1"/>
  <c r="S170"/>
  <c r="S80"/>
  <c r="S147"/>
  <c r="S87"/>
  <c r="S164"/>
  <c r="S252"/>
  <c r="S282"/>
  <c r="S417"/>
  <c r="S85"/>
  <c r="S182"/>
  <c r="S102"/>
  <c r="S400"/>
  <c r="S343"/>
  <c r="S344" s="1"/>
  <c r="S219"/>
  <c r="S162"/>
  <c r="L171"/>
  <c r="S173"/>
  <c r="S176" s="1"/>
  <c r="L176"/>
  <c r="S403"/>
  <c r="L406"/>
  <c r="S64"/>
  <c r="S65" s="1"/>
  <c r="L65"/>
  <c r="S179"/>
  <c r="S183"/>
  <c r="L183"/>
  <c r="P121"/>
  <c r="O123"/>
  <c r="Q121"/>
  <c r="U121"/>
  <c r="U124"/>
  <c r="R121"/>
  <c r="P102"/>
  <c r="Y102" s="1"/>
  <c r="Q102"/>
  <c r="R102"/>
  <c r="X102"/>
  <c r="K102"/>
  <c r="J102"/>
  <c r="I102"/>
  <c r="P97"/>
  <c r="Y97" s="1"/>
  <c r="Q97"/>
  <c r="R97"/>
  <c r="X97"/>
  <c r="P64"/>
  <c r="R64"/>
  <c r="R65" s="1"/>
  <c r="U64"/>
  <c r="U65" s="1"/>
  <c r="Q64"/>
  <c r="P180"/>
  <c r="V180"/>
  <c r="R180"/>
  <c r="Q180"/>
  <c r="U180"/>
  <c r="P158"/>
  <c r="Q158"/>
  <c r="R158"/>
  <c r="R159" s="1"/>
  <c r="U158"/>
  <c r="U159" s="1"/>
  <c r="U185" s="1"/>
  <c r="P147"/>
  <c r="V147" s="1"/>
  <c r="V149" s="1"/>
  <c r="R147"/>
  <c r="U147"/>
  <c r="Q147"/>
  <c r="W147" s="1"/>
  <c r="P299"/>
  <c r="R299"/>
  <c r="R300"/>
  <c r="X299"/>
  <c r="X300"/>
  <c r="Q299"/>
  <c r="K299"/>
  <c r="K300" s="1"/>
  <c r="J299"/>
  <c r="J300" s="1"/>
  <c r="I299"/>
  <c r="I300" s="1"/>
  <c r="P369"/>
  <c r="R369"/>
  <c r="R370"/>
  <c r="Q369"/>
  <c r="U369"/>
  <c r="U370" s="1"/>
  <c r="I369"/>
  <c r="I361" s="1"/>
  <c r="J369"/>
  <c r="J361" s="1"/>
  <c r="K369"/>
  <c r="K361" s="1"/>
  <c r="P387"/>
  <c r="Q387"/>
  <c r="R387"/>
  <c r="R390" s="1"/>
  <c r="R392" s="1"/>
  <c r="D12" i="3" s="1"/>
  <c r="U387" i="1"/>
  <c r="U390" s="1"/>
  <c r="U392" s="1"/>
  <c r="P415"/>
  <c r="Q415"/>
  <c r="R415"/>
  <c r="R418"/>
  <c r="X415"/>
  <c r="X418"/>
  <c r="J415"/>
  <c r="J418"/>
  <c r="K415"/>
  <c r="K418"/>
  <c r="I415"/>
  <c r="I418"/>
  <c r="P404"/>
  <c r="V404"/>
  <c r="Q404"/>
  <c r="R404"/>
  <c r="U404"/>
  <c r="K404"/>
  <c r="J404"/>
  <c r="I404"/>
  <c r="P88"/>
  <c r="V88"/>
  <c r="R88"/>
  <c r="U88"/>
  <c r="P175"/>
  <c r="V175"/>
  <c r="R175"/>
  <c r="U175"/>
  <c r="Q175"/>
  <c r="W175"/>
  <c r="P164"/>
  <c r="V164"/>
  <c r="R164"/>
  <c r="U164"/>
  <c r="Q164"/>
  <c r="W164"/>
  <c r="P145"/>
  <c r="R145"/>
  <c r="R149" s="1"/>
  <c r="R185" s="1"/>
  <c r="D7" i="3" s="1"/>
  <c r="U145" i="1"/>
  <c r="Q145"/>
  <c r="P252"/>
  <c r="R252"/>
  <c r="R256"/>
  <c r="U252"/>
  <c r="U256"/>
  <c r="Q252"/>
  <c r="P290"/>
  <c r="Q290"/>
  <c r="R290"/>
  <c r="R291" s="1"/>
  <c r="U290"/>
  <c r="U291" s="1"/>
  <c r="K290"/>
  <c r="K291" s="1"/>
  <c r="J290"/>
  <c r="J291" s="1"/>
  <c r="I290"/>
  <c r="I291" s="1"/>
  <c r="P296"/>
  <c r="V296" s="1"/>
  <c r="V297" s="1"/>
  <c r="R296"/>
  <c r="Q296"/>
  <c r="U296"/>
  <c r="P282"/>
  <c r="V282"/>
  <c r="V283" s="1"/>
  <c r="Q282"/>
  <c r="R282"/>
  <c r="U282"/>
  <c r="U283" s="1"/>
  <c r="U308" s="1"/>
  <c r="P277"/>
  <c r="Q277"/>
  <c r="R277"/>
  <c r="R283" s="1"/>
  <c r="R308" s="1"/>
  <c r="D9" i="3" s="1"/>
  <c r="X277" i="1"/>
  <c r="X283" s="1"/>
  <c r="X308" s="1"/>
  <c r="P336"/>
  <c r="Q336"/>
  <c r="U336"/>
  <c r="U337" s="1"/>
  <c r="R336"/>
  <c r="R337"/>
  <c r="S336"/>
  <c r="S337"/>
  <c r="P373"/>
  <c r="R373"/>
  <c r="R374" s="1"/>
  <c r="Q373"/>
  <c r="U373"/>
  <c r="U374"/>
  <c r="P411"/>
  <c r="Y411"/>
  <c r="Q411"/>
  <c r="R411"/>
  <c r="X411"/>
  <c r="P400"/>
  <c r="V400" s="1"/>
  <c r="V401" s="1"/>
  <c r="V424" s="1"/>
  <c r="R400"/>
  <c r="Q400"/>
  <c r="U400"/>
  <c r="K400"/>
  <c r="J400"/>
  <c r="I400"/>
  <c r="P398"/>
  <c r="R398"/>
  <c r="Q398"/>
  <c r="U398"/>
  <c r="K398"/>
  <c r="J398"/>
  <c r="I398"/>
  <c r="I401" s="1"/>
  <c r="S153"/>
  <c r="S154" s="1"/>
  <c r="L154"/>
  <c r="S238"/>
  <c r="S243"/>
  <c r="L243"/>
  <c r="S110"/>
  <c r="S118" s="1"/>
  <c r="L118"/>
  <c r="S72"/>
  <c r="S73"/>
  <c r="L73"/>
  <c r="L45"/>
  <c r="L401"/>
  <c r="L424"/>
  <c r="S398"/>
  <c r="S401"/>
  <c r="L357"/>
  <c r="S315"/>
  <c r="L320"/>
  <c r="S192"/>
  <c r="L195"/>
  <c r="P72"/>
  <c r="Q72"/>
  <c r="R72"/>
  <c r="R73"/>
  <c r="X72"/>
  <c r="X73"/>
  <c r="P166"/>
  <c r="V166" s="1"/>
  <c r="V171" s="1"/>
  <c r="Q166"/>
  <c r="U166"/>
  <c r="R166"/>
  <c r="W430"/>
  <c r="W431"/>
  <c r="Q431"/>
  <c r="P117"/>
  <c r="V117" s="1"/>
  <c r="V118" s="1"/>
  <c r="Q117"/>
  <c r="U117"/>
  <c r="U118" s="1"/>
  <c r="R117"/>
  <c r="R118" s="1"/>
  <c r="K117"/>
  <c r="J117"/>
  <c r="I117"/>
  <c r="S82"/>
  <c r="S97"/>
  <c r="S106"/>
  <c r="S411"/>
  <c r="S412" s="1"/>
  <c r="L219"/>
  <c r="U149"/>
  <c r="S171"/>
  <c r="L435"/>
  <c r="Z72"/>
  <c r="Z73" s="1"/>
  <c r="Q73"/>
  <c r="W373"/>
  <c r="W374"/>
  <c r="Q374"/>
  <c r="P374"/>
  <c r="V373"/>
  <c r="V374"/>
  <c r="W336"/>
  <c r="W337"/>
  <c r="Q337"/>
  <c r="Z277"/>
  <c r="Q283"/>
  <c r="P291"/>
  <c r="V290"/>
  <c r="V291"/>
  <c r="P256"/>
  <c r="V252"/>
  <c r="V256" s="1"/>
  <c r="P149"/>
  <c r="V145"/>
  <c r="Z415"/>
  <c r="Z418" s="1"/>
  <c r="Z424" s="1"/>
  <c r="Q418"/>
  <c r="W387"/>
  <c r="Q390"/>
  <c r="Q392" s="1"/>
  <c r="C12" i="3" s="1"/>
  <c r="W369" i="1"/>
  <c r="W370" s="1"/>
  <c r="Q370"/>
  <c r="V369"/>
  <c r="V370"/>
  <c r="P370"/>
  <c r="Z299"/>
  <c r="Z300" s="1"/>
  <c r="Z308" s="1"/>
  <c r="Q300"/>
  <c r="W158"/>
  <c r="W159"/>
  <c r="Q159"/>
  <c r="Q65"/>
  <c r="W64"/>
  <c r="W65"/>
  <c r="P123"/>
  <c r="Y123"/>
  <c r="Y124" s="1"/>
  <c r="R123"/>
  <c r="X123"/>
  <c r="X124"/>
  <c r="Q123"/>
  <c r="Z123"/>
  <c r="Z124" s="1"/>
  <c r="J123"/>
  <c r="K123"/>
  <c r="I123"/>
  <c r="W365"/>
  <c r="W366"/>
  <c r="Q366"/>
  <c r="P366"/>
  <c r="V365"/>
  <c r="V366"/>
  <c r="P333"/>
  <c r="V332"/>
  <c r="V333" s="1"/>
  <c r="P344"/>
  <c r="V343"/>
  <c r="V344"/>
  <c r="W294"/>
  <c r="Q297"/>
  <c r="P214"/>
  <c r="V212"/>
  <c r="V214" s="1"/>
  <c r="V271" s="1"/>
  <c r="P269"/>
  <c r="Y268"/>
  <c r="Y269"/>
  <c r="P170"/>
  <c r="V170"/>
  <c r="Q170"/>
  <c r="R170"/>
  <c r="U170"/>
  <c r="W173"/>
  <c r="Q176"/>
  <c r="Z79"/>
  <c r="P87"/>
  <c r="Y87"/>
  <c r="R87"/>
  <c r="Z87"/>
  <c r="X87"/>
  <c r="Q88"/>
  <c r="W88" s="1"/>
  <c r="P82"/>
  <c r="V82" s="1"/>
  <c r="Q82"/>
  <c r="U82"/>
  <c r="R82"/>
  <c r="W403"/>
  <c r="Q406"/>
  <c r="V403"/>
  <c r="P406"/>
  <c r="W286"/>
  <c r="W287"/>
  <c r="Q287"/>
  <c r="Z240"/>
  <c r="Z243" s="1"/>
  <c r="Q243"/>
  <c r="P183"/>
  <c r="V179"/>
  <c r="P106"/>
  <c r="Y106"/>
  <c r="Q106"/>
  <c r="R106"/>
  <c r="X106"/>
  <c r="X107"/>
  <c r="J106"/>
  <c r="J118"/>
  <c r="K106"/>
  <c r="I106"/>
  <c r="P136"/>
  <c r="Y132"/>
  <c r="L198"/>
  <c r="L271"/>
  <c r="L138"/>
  <c r="J401"/>
  <c r="U401"/>
  <c r="R401"/>
  <c r="W400"/>
  <c r="W282"/>
  <c r="W283" s="1"/>
  <c r="Z97"/>
  <c r="X412"/>
  <c r="R412"/>
  <c r="U297"/>
  <c r="R171"/>
  <c r="U176"/>
  <c r="I406"/>
  <c r="K406"/>
  <c r="W148"/>
  <c r="U183"/>
  <c r="K118"/>
  <c r="L185"/>
  <c r="P73"/>
  <c r="Y72"/>
  <c r="Y73"/>
  <c r="S195"/>
  <c r="W398"/>
  <c r="Q401"/>
  <c r="P401"/>
  <c r="V398"/>
  <c r="P337"/>
  <c r="V336"/>
  <c r="V337" s="1"/>
  <c r="P283"/>
  <c r="Y277"/>
  <c r="W290"/>
  <c r="W291" s="1"/>
  <c r="Q291"/>
  <c r="W252"/>
  <c r="W256"/>
  <c r="Q256"/>
  <c r="W145"/>
  <c r="W149" s="1"/>
  <c r="W185" s="1"/>
  <c r="Q149"/>
  <c r="P418"/>
  <c r="Y415"/>
  <c r="Y418" s="1"/>
  <c r="P390"/>
  <c r="P392" s="1"/>
  <c r="B12" i="3" s="1"/>
  <c r="V387" i="1"/>
  <c r="P300"/>
  <c r="Y299"/>
  <c r="Y300" s="1"/>
  <c r="P159"/>
  <c r="V158"/>
  <c r="V159"/>
  <c r="P65"/>
  <c r="V64"/>
  <c r="V65" s="1"/>
  <c r="W121"/>
  <c r="W124" s="1"/>
  <c r="Q124"/>
  <c r="P124"/>
  <c r="V121"/>
  <c r="V124" s="1"/>
  <c r="Z409"/>
  <c r="Q412"/>
  <c r="P412"/>
  <c r="Y409"/>
  <c r="Y412"/>
  <c r="Y424" s="1"/>
  <c r="W332"/>
  <c r="W333" s="1"/>
  <c r="Q333"/>
  <c r="W343"/>
  <c r="W344"/>
  <c r="Q344"/>
  <c r="P297"/>
  <c r="V294"/>
  <c r="W303"/>
  <c r="W306"/>
  <c r="Q306"/>
  <c r="Q308"/>
  <c r="C9" i="3" s="1"/>
  <c r="P306" i="1"/>
  <c r="V303"/>
  <c r="V306"/>
  <c r="W212"/>
  <c r="W214"/>
  <c r="Q214"/>
  <c r="Z268"/>
  <c r="Z269" s="1"/>
  <c r="Q269"/>
  <c r="W162"/>
  <c r="Q171"/>
  <c r="P171"/>
  <c r="V162"/>
  <c r="P176"/>
  <c r="V173"/>
  <c r="Y79"/>
  <c r="P85"/>
  <c r="Y85" s="1"/>
  <c r="Y89" s="1"/>
  <c r="R85"/>
  <c r="X85"/>
  <c r="X89"/>
  <c r="Q85"/>
  <c r="P80"/>
  <c r="V80" s="1"/>
  <c r="V89" s="1"/>
  <c r="R80"/>
  <c r="W80" s="1"/>
  <c r="W89" s="1"/>
  <c r="Q80"/>
  <c r="U80"/>
  <c r="U89" s="1"/>
  <c r="V286"/>
  <c r="V287" s="1"/>
  <c r="P287"/>
  <c r="P243"/>
  <c r="Y240"/>
  <c r="Y243" s="1"/>
  <c r="W179"/>
  <c r="Q183"/>
  <c r="Z94"/>
  <c r="Q107"/>
  <c r="P107"/>
  <c r="Y94"/>
  <c r="Z132"/>
  <c r="Z136"/>
  <c r="Q136"/>
  <c r="W117"/>
  <c r="W118" s="1"/>
  <c r="W166"/>
  <c r="R124"/>
  <c r="S123"/>
  <c r="P118"/>
  <c r="W399"/>
  <c r="W401"/>
  <c r="Z280"/>
  <c r="R297"/>
  <c r="U171"/>
  <c r="R176"/>
  <c r="J406"/>
  <c r="U406"/>
  <c r="U424" s="1"/>
  <c r="R406"/>
  <c r="W405"/>
  <c r="R183"/>
  <c r="W182"/>
  <c r="R107"/>
  <c r="I118"/>
  <c r="S418"/>
  <c r="W170"/>
  <c r="Q271"/>
  <c r="C8" i="3" s="1"/>
  <c r="Q185" i="1"/>
  <c r="C7" i="3" s="1"/>
  <c r="Q424" i="1"/>
  <c r="C13" i="3" s="1"/>
  <c r="Z283" i="1"/>
  <c r="P424"/>
  <c r="B13" i="3" s="1"/>
  <c r="Z106" i="1"/>
  <c r="W82"/>
  <c r="Q89"/>
  <c r="Z437"/>
  <c r="Z346"/>
  <c r="V107"/>
  <c r="P154"/>
  <c r="P185" s="1"/>
  <c r="B7" i="3" s="1"/>
  <c r="V153" i="1"/>
  <c r="V154"/>
  <c r="V136"/>
  <c r="V176"/>
  <c r="W176"/>
  <c r="K401"/>
  <c r="W296"/>
  <c r="W297"/>
  <c r="W180"/>
  <c r="T8"/>
  <c r="P308"/>
  <c r="B9" i="3"/>
  <c r="Z102" i="1"/>
  <c r="R89"/>
  <c r="Z411"/>
  <c r="X346"/>
  <c r="P89"/>
  <c r="Z85"/>
  <c r="Z89"/>
  <c r="W271"/>
  <c r="Z412"/>
  <c r="V406"/>
  <c r="W183"/>
  <c r="R271"/>
  <c r="D8" i="3"/>
  <c r="S107" i="1"/>
  <c r="Y136"/>
  <c r="X401"/>
  <c r="Z390"/>
  <c r="Z392"/>
  <c r="Y185"/>
  <c r="W404"/>
  <c r="W406" s="1"/>
  <c r="W424" s="1"/>
  <c r="R424"/>
  <c r="D13" i="3"/>
  <c r="W171" i="1"/>
  <c r="Y283"/>
  <c r="Y308" s="1"/>
  <c r="U271"/>
  <c r="V390"/>
  <c r="V392"/>
  <c r="S124"/>
  <c r="X185"/>
  <c r="Z176"/>
  <c r="Z185"/>
  <c r="Y390"/>
  <c r="Y392" s="1"/>
  <c r="X381"/>
  <c r="X424"/>
  <c r="Z381"/>
  <c r="Y346"/>
  <c r="Y381"/>
  <c r="W308" l="1"/>
  <c r="V308"/>
  <c r="Y107"/>
  <c r="S271"/>
  <c r="S424"/>
  <c r="V185"/>
  <c r="S37"/>
  <c r="S185"/>
  <c r="S308"/>
  <c r="J433"/>
  <c r="R433"/>
  <c r="R435" s="1"/>
  <c r="R437" s="1"/>
  <c r="Q433"/>
  <c r="U433"/>
  <c r="U435" s="1"/>
  <c r="U437" s="1"/>
  <c r="K433"/>
  <c r="I433"/>
  <c r="P433"/>
  <c r="N441"/>
  <c r="M441"/>
  <c r="H271"/>
  <c r="H308"/>
  <c r="H424"/>
  <c r="H437"/>
  <c r="H138"/>
  <c r="Z256"/>
  <c r="Z209"/>
  <c r="Y437"/>
  <c r="Z198"/>
  <c r="Z195"/>
  <c r="R128"/>
  <c r="R129" s="1"/>
  <c r="X128"/>
  <c r="X129" s="1"/>
  <c r="P128"/>
  <c r="Q128"/>
  <c r="P209"/>
  <c r="P271" s="1"/>
  <c r="B8" i="3" s="1"/>
  <c r="Y208" i="1"/>
  <c r="Y209" s="1"/>
  <c r="Y271" s="1"/>
  <c r="P329"/>
  <c r="V322"/>
  <c r="V329" s="1"/>
  <c r="V315"/>
  <c r="O340"/>
  <c r="O52"/>
  <c r="O354"/>
  <c r="O360"/>
  <c r="O356"/>
  <c r="O44"/>
  <c r="L297"/>
  <c r="L308" s="1"/>
  <c r="L370"/>
  <c r="L381" s="1"/>
  <c r="L441" s="1"/>
  <c r="H185"/>
  <c r="H381"/>
  <c r="P49"/>
  <c r="X110"/>
  <c r="X118" s="1"/>
  <c r="Q110"/>
  <c r="E11"/>
  <c r="W47"/>
  <c r="W49" s="1"/>
  <c r="X198"/>
  <c r="X271" s="1"/>
  <c r="O317"/>
  <c r="R317" l="1"/>
  <c r="U317"/>
  <c r="P317"/>
  <c r="O318"/>
  <c r="Q317"/>
  <c r="S317"/>
  <c r="Z110"/>
  <c r="Z118" s="1"/>
  <c r="Q118"/>
  <c r="S44"/>
  <c r="S45" s="1"/>
  <c r="P44"/>
  <c r="R44"/>
  <c r="R45" s="1"/>
  <c r="X44"/>
  <c r="X45" s="1"/>
  <c r="J44"/>
  <c r="I44"/>
  <c r="Q44"/>
  <c r="K44"/>
  <c r="R360"/>
  <c r="R361" s="1"/>
  <c r="Q360"/>
  <c r="K360"/>
  <c r="P360"/>
  <c r="J360"/>
  <c r="I360"/>
  <c r="S360"/>
  <c r="S361" s="1"/>
  <c r="P52"/>
  <c r="Q52"/>
  <c r="U52"/>
  <c r="U62" s="1"/>
  <c r="U138" s="1"/>
  <c r="K52"/>
  <c r="K62" s="1"/>
  <c r="I52"/>
  <c r="I62" s="1"/>
  <c r="J52"/>
  <c r="J62" s="1"/>
  <c r="S52"/>
  <c r="O56"/>
  <c r="R52"/>
  <c r="Q129"/>
  <c r="Z128"/>
  <c r="Z129" s="1"/>
  <c r="V433"/>
  <c r="V435" s="1"/>
  <c r="V437" s="1"/>
  <c r="P435"/>
  <c r="P437" s="1"/>
  <c r="K434"/>
  <c r="K435"/>
  <c r="W433"/>
  <c r="W435" s="1"/>
  <c r="W437" s="1"/>
  <c r="Q435"/>
  <c r="Q437" s="1"/>
  <c r="J434"/>
  <c r="J435" s="1"/>
  <c r="Z271"/>
  <c r="H441"/>
  <c r="P356"/>
  <c r="V356" s="1"/>
  <c r="Q356"/>
  <c r="W356" s="1"/>
  <c r="I356"/>
  <c r="K356"/>
  <c r="R356"/>
  <c r="J356"/>
  <c r="S356"/>
  <c r="U356"/>
  <c r="Q354"/>
  <c r="K354"/>
  <c r="K357" s="1"/>
  <c r="R354"/>
  <c r="R357" s="1"/>
  <c r="R381" s="1"/>
  <c r="D11" i="3" s="1"/>
  <c r="J354" i="1"/>
  <c r="J357" s="1"/>
  <c r="S354"/>
  <c r="S357" s="1"/>
  <c r="S381" s="1"/>
  <c r="I354"/>
  <c r="I357" s="1"/>
  <c r="U354"/>
  <c r="U357" s="1"/>
  <c r="U381" s="1"/>
  <c r="P354"/>
  <c r="R340"/>
  <c r="R341" s="1"/>
  <c r="S340"/>
  <c r="S341" s="1"/>
  <c r="P340"/>
  <c r="U340"/>
  <c r="U341" s="1"/>
  <c r="Q340"/>
  <c r="P129"/>
  <c r="Y128"/>
  <c r="Y129" s="1"/>
  <c r="I434"/>
  <c r="I435" s="1"/>
  <c r="D14" i="3"/>
  <c r="Q341" i="1" l="1"/>
  <c r="W340"/>
  <c r="W341" s="1"/>
  <c r="V340"/>
  <c r="V341" s="1"/>
  <c r="P341"/>
  <c r="Q357"/>
  <c r="W354"/>
  <c r="W357" s="1"/>
  <c r="R56"/>
  <c r="S56"/>
  <c r="P56"/>
  <c r="Y56" s="1"/>
  <c r="Y62" s="1"/>
  <c r="X56"/>
  <c r="X62" s="1"/>
  <c r="Q56"/>
  <c r="Z56" s="1"/>
  <c r="Z62" s="1"/>
  <c r="W52"/>
  <c r="W62" s="1"/>
  <c r="W138" s="1"/>
  <c r="Q62"/>
  <c r="Z44"/>
  <c r="Z45" s="1"/>
  <c r="Z138" s="1"/>
  <c r="Q45"/>
  <c r="Q138" s="1"/>
  <c r="C6" i="3" s="1"/>
  <c r="W317" i="1"/>
  <c r="V317"/>
  <c r="V354"/>
  <c r="V357" s="1"/>
  <c r="P357"/>
  <c r="C14" i="3"/>
  <c r="B14"/>
  <c r="P62" i="1"/>
  <c r="V52"/>
  <c r="V62" s="1"/>
  <c r="V138" s="1"/>
  <c r="P361"/>
  <c r="V360"/>
  <c r="V361" s="1"/>
  <c r="Q361"/>
  <c r="W360"/>
  <c r="W361" s="1"/>
  <c r="P45"/>
  <c r="Y44"/>
  <c r="Y45" s="1"/>
  <c r="Y138" s="1"/>
  <c r="Y441" s="1"/>
  <c r="AE23" s="1"/>
  <c r="P318"/>
  <c r="V318" s="1"/>
  <c r="O319"/>
  <c r="Q318"/>
  <c r="R318"/>
  <c r="U318"/>
  <c r="S318"/>
  <c r="Z441"/>
  <c r="AG23" s="1"/>
  <c r="R62"/>
  <c r="R138" s="1"/>
  <c r="D6" i="3" s="1"/>
  <c r="S62" i="1"/>
  <c r="S138" s="1"/>
  <c r="X138"/>
  <c r="X441" s="1"/>
  <c r="AH23" s="1"/>
  <c r="AD23" l="1"/>
  <c r="P381"/>
  <c r="W381"/>
  <c r="R319"/>
  <c r="R320" s="1"/>
  <c r="R346" s="1"/>
  <c r="U319"/>
  <c r="U320" s="1"/>
  <c r="U346" s="1"/>
  <c r="U441" s="1"/>
  <c r="AH22" s="1"/>
  <c r="P319"/>
  <c r="V319" s="1"/>
  <c r="V320" s="1"/>
  <c r="V346" s="1"/>
  <c r="Q319"/>
  <c r="W319" s="1"/>
  <c r="S319"/>
  <c r="S320" s="1"/>
  <c r="S346" s="1"/>
  <c r="S441" s="1"/>
  <c r="O378"/>
  <c r="P138"/>
  <c r="B6" i="3" s="1"/>
  <c r="AH25" i="1"/>
  <c r="AF23"/>
  <c r="W318"/>
  <c r="W320" s="1"/>
  <c r="W346" s="1"/>
  <c r="V381"/>
  <c r="P320"/>
  <c r="P346" s="1"/>
  <c r="B10" i="3" s="1"/>
  <c r="Q320" i="1"/>
  <c r="Q346" s="1"/>
  <c r="C10" i="3" s="1"/>
  <c r="Q381" i="1"/>
  <c r="D10" i="3" l="1"/>
  <c r="D15" s="1"/>
  <c r="I15" s="1"/>
  <c r="R441" i="1"/>
  <c r="C11" i="3"/>
  <c r="C15" s="1"/>
  <c r="H15" s="1"/>
  <c r="Q441" i="1"/>
  <c r="B11" i="3"/>
  <c r="B15" s="1"/>
  <c r="P441" i="1"/>
  <c r="T12" s="1"/>
  <c r="V441"/>
  <c r="AE22" s="1"/>
  <c r="Q378"/>
  <c r="R378"/>
  <c r="R379" s="1"/>
  <c r="P378"/>
  <c r="U378"/>
  <c r="U379" s="1"/>
  <c r="S378"/>
  <c r="S379" s="1"/>
  <c r="W441"/>
  <c r="AG22" s="1"/>
  <c r="B16" i="3" l="1"/>
  <c r="G15"/>
  <c r="AF22" i="1"/>
  <c r="AG25"/>
  <c r="AF25" s="1"/>
  <c r="P379"/>
  <c r="V378"/>
  <c r="V379" s="1"/>
  <c r="Q379"/>
  <c r="W378"/>
  <c r="W379" s="1"/>
  <c r="AD22"/>
  <c r="AE25"/>
  <c r="AD25" s="1"/>
</calcChain>
</file>

<file path=xl/sharedStrings.xml><?xml version="1.0" encoding="utf-8"?>
<sst xmlns="http://schemas.openxmlformats.org/spreadsheetml/2006/main" count="705" uniqueCount="435">
  <si>
    <t>Conduct of performance evaluation and performance evaluation dates (63.1209(d) and 63.8(e)(4))</t>
  </si>
  <si>
    <t>Conduct a CMS performance evalutaion</t>
  </si>
  <si>
    <t xml:space="preserve">Prepare and submit a written report of the results of the </t>
  </si>
  <si>
    <t>CMS performance evaluation</t>
  </si>
  <si>
    <t xml:space="preserve">Prepare and submit written reports of the results of the </t>
  </si>
  <si>
    <t>Respondents</t>
  </si>
  <si>
    <t>Legal</t>
  </si>
  <si>
    <t>Manager</t>
  </si>
  <si>
    <t>Technical</t>
  </si>
  <si>
    <t>Clerical</t>
  </si>
  <si>
    <t>Consultant</t>
  </si>
  <si>
    <t>Overhead Multiplier</t>
  </si>
  <si>
    <t>Agency</t>
  </si>
  <si>
    <t>Hourly Wage</t>
  </si>
  <si>
    <t>Total Hourly Rate</t>
  </si>
  <si>
    <t>Hours and Costs Per Respondent or Activity</t>
  </si>
  <si>
    <t>Total Hours and Costs</t>
  </si>
  <si>
    <t>Total</t>
  </si>
  <si>
    <t>Respon.</t>
  </si>
  <si>
    <t>Labor</t>
  </si>
  <si>
    <t>Capital/</t>
  </si>
  <si>
    <t># of</t>
  </si>
  <si>
    <t>Cost</t>
  </si>
  <si>
    <t>Startup</t>
  </si>
  <si>
    <t>O&amp;M</t>
  </si>
  <si>
    <t>INFORMATION COLLECTION ACTIVITY</t>
  </si>
  <si>
    <t>or Activities</t>
  </si>
  <si>
    <t xml:space="preserve">  Read 40 CFR Part 63, Subparts A and EEE</t>
  </si>
  <si>
    <t>record</t>
  </si>
  <si>
    <t>Subtotal</t>
  </si>
  <si>
    <t xml:space="preserve"> </t>
  </si>
  <si>
    <t>Comprehensive performance test requirements (63.1207(b)(1))</t>
  </si>
  <si>
    <t>Confirmatory performance test requirements (63.1207(b)(2))</t>
  </si>
  <si>
    <t>Particulate matter (63.1209(m))</t>
  </si>
  <si>
    <t>standards</t>
  </si>
  <si>
    <t>Prepare and submit a progress report, as applicable</t>
  </si>
  <si>
    <t>Prepare and submit a notification of change in design,</t>
  </si>
  <si>
    <t>operation, or maintenance</t>
  </si>
  <si>
    <t>Conduct a comprehensive performance test</t>
  </si>
  <si>
    <t>Document change in operating record if it is determined that</t>
  </si>
  <si>
    <t>the change will not adversely affect compliance with emission</t>
  </si>
  <si>
    <t>standards or operating requirements</t>
  </si>
  <si>
    <t>Revise, as necessary, the performance test plan,</t>
  </si>
  <si>
    <t>Documentation of Compliance, and start-up, shutdown, and</t>
  </si>
  <si>
    <t>malfunction plan to reflect changes that will not adversely</t>
  </si>
  <si>
    <t>affect compliance with emission standards or operating</t>
  </si>
  <si>
    <t>requirements.</t>
  </si>
  <si>
    <t xml:space="preserve">Prepare and submit a particulate matter CEMS correlation </t>
  </si>
  <si>
    <t>test plan</t>
  </si>
  <si>
    <t>Develop a startup, shutdown, and malfunction plan</t>
  </si>
  <si>
    <t>EPA</t>
  </si>
  <si>
    <t>Make the plan available for inspection, if requested by the</t>
  </si>
  <si>
    <t>Keep the plan on record for the life of the affected source or</t>
  </si>
  <si>
    <t>until the affected source is no longer subject to the provisions</t>
  </si>
  <si>
    <t>of 40 CFR Part 63</t>
  </si>
  <si>
    <t>Keep previous versions of the plan on record for a period of 5</t>
  </si>
  <si>
    <t>years after each revision, if the plan is revised</t>
  </si>
  <si>
    <t xml:space="preserve">Investigate the cause of any AWFCO, take appropriate </t>
  </si>
  <si>
    <t xml:space="preserve">Develop and submit a written report documenting excessive </t>
  </si>
  <si>
    <t xml:space="preserve">exceedances and result of the investigation and corrective </t>
  </si>
  <si>
    <t>measures taken</t>
  </si>
  <si>
    <t>Test the AWFCO system and associated alarms weekely and</t>
  </si>
  <si>
    <t>document and record AWFCO operability test procedures and</t>
  </si>
  <si>
    <t>result in the operating record</t>
  </si>
  <si>
    <t xml:space="preserve">Document in the operating record that weekly inspections will </t>
  </si>
  <si>
    <t>unduly restrict or upset operations</t>
  </si>
  <si>
    <t>operating record</t>
  </si>
  <si>
    <t>Develop an ESV operating plan and keep it in the operating</t>
  </si>
  <si>
    <t>Investigate the cause of the ESV opening, take appropriate</t>
  </si>
  <si>
    <t>corrective measures to minimize such future ESV openings,</t>
  </si>
  <si>
    <t>Develop and submit a written report documenting the ESV</t>
  </si>
  <si>
    <t>Combustion system leaks (63.1206(c)(5))</t>
  </si>
  <si>
    <t>control to provide control of combustion system leaks</t>
  </si>
  <si>
    <t>Operator training and certification (63.1206(c)(6))</t>
  </si>
  <si>
    <t>Perform comprehensive performance test no later than 61</t>
  </si>
  <si>
    <t>months after the date of commencing the previous</t>
  </si>
  <si>
    <t>comprehensive performance test</t>
  </si>
  <si>
    <t>Perform the confirmatory performance test no later than 31</t>
  </si>
  <si>
    <t>Data in lieu of the initial comprehensive performance test (63.1207(c)(2))</t>
  </si>
  <si>
    <t>Prepare and submit a request that previous emissions test</t>
  </si>
  <si>
    <t>data serve as documentation of conformance with emission</t>
  </si>
  <si>
    <t>Prepare and submit a notification of intention to conduct</t>
  </si>
  <si>
    <t>a perfomance test</t>
  </si>
  <si>
    <t>Prepare and submit the rescheduled notification of intent to</t>
  </si>
  <si>
    <t>conduct a performance test, if test is postponed</t>
  </si>
  <si>
    <t>Prepare and submit a site-specific comprehensive</t>
  </si>
  <si>
    <t>performance test plan</t>
  </si>
  <si>
    <t>Prepare and submit the site-specific confirmatory performance</t>
  </si>
  <si>
    <t>Prepare and submit additional relevant information, if</t>
  </si>
  <si>
    <t>requested by the EPA</t>
  </si>
  <si>
    <t>Operating under different modes of operation (63.1207(g) and 63.1209(r))</t>
  </si>
  <si>
    <t xml:space="preserve">Document the mode of operation in the operating record, if a </t>
  </si>
  <si>
    <t>source has tested under two or more operating modes</t>
  </si>
  <si>
    <t>Prepare and submit any supplementary information</t>
  </si>
  <si>
    <t>Notification of compliance (63.1207(j), 63.9(h), 63.7(g), 63.10(d)(2) and 63.1210(d))</t>
  </si>
  <si>
    <t>Prepare and submit a notification of compliance</t>
  </si>
  <si>
    <t>Prepare and submit a written request for a time extension, if</t>
  </si>
  <si>
    <t>necessary</t>
  </si>
  <si>
    <t>Develop and implement a feedstream analysis plan and</t>
  </si>
  <si>
    <t>Submit the plan for review and approval, if requested  by the</t>
  </si>
  <si>
    <t>facilities)</t>
  </si>
  <si>
    <t>Perform waste analysis 50 times annually (commercial</t>
  </si>
  <si>
    <t>Prepare and submit an application for use of an alternative</t>
  </si>
  <si>
    <t>monitoring method</t>
  </si>
  <si>
    <t>Prepare and submit an application to waive an operating limit</t>
  </si>
  <si>
    <t>Continuous emissions monitoring system (CEMS) and continuous opacity monitoring system (COMS) (63.1209(a))</t>
  </si>
  <si>
    <t>Install, calibrate, maintain, and continuously operate CEMS</t>
  </si>
  <si>
    <t>for carbon monoxide, hydrocarbons, and oxygen</t>
  </si>
  <si>
    <t>and continuously operate COMS for opacity</t>
  </si>
  <si>
    <t>DRE (63.1209(j))</t>
  </si>
  <si>
    <t>Comply with the operating limits applicable to DRE</t>
  </si>
  <si>
    <t>Dioxins and furans (63.1209(k))</t>
  </si>
  <si>
    <t xml:space="preserve">Comply with the operating parameter limits applicable to </t>
  </si>
  <si>
    <t>dioxin and furans</t>
  </si>
  <si>
    <t>Document in the operating record that replacement carbon</t>
  </si>
  <si>
    <t>will provide the same level of control as the original inhibitor</t>
  </si>
  <si>
    <t>used during the performance test</t>
  </si>
  <si>
    <t>mercury</t>
  </si>
  <si>
    <t>Prepare and submit request to extrapolate mercury feedrate</t>
  </si>
  <si>
    <t>limits</t>
  </si>
  <si>
    <t>for compliance monitoring for mercury</t>
  </si>
  <si>
    <t>Mercury (63.1209(l))</t>
  </si>
  <si>
    <t>particulate matter</t>
  </si>
  <si>
    <t>Semivolatile and low volatile metals (63.1209(n))</t>
  </si>
  <si>
    <t>semivolatile metals and low volatile metals</t>
  </si>
  <si>
    <t>Prepare and submit request to extrapolate semivolatile metal</t>
  </si>
  <si>
    <t>and low volatile metal feedrate limits</t>
  </si>
  <si>
    <t>for compliance monitoring for semivolatile metals and low</t>
  </si>
  <si>
    <t>volatile metals</t>
  </si>
  <si>
    <t>Comply with the operating parameter limits applicable to total</t>
  </si>
  <si>
    <t>chlorine</t>
  </si>
  <si>
    <t>Document in the operating record that replacement sorbent</t>
  </si>
  <si>
    <t>will provide the same level of control as the original sorbent</t>
  </si>
  <si>
    <t>for compliance monitoring total chlorine</t>
  </si>
  <si>
    <t xml:space="preserve">Keep the CMS quality control program on record for the life </t>
  </si>
  <si>
    <t>of the affected source or until the affected  source is no</t>
  </si>
  <si>
    <t>longer subject to the provisions of 40 CFR Part 63</t>
  </si>
  <si>
    <t>Submit the CMS quality control program for inspection, if</t>
  </si>
  <si>
    <t>Notification of performance evaluation (63.1209(d) and 63.8(e)(2))</t>
  </si>
  <si>
    <t>Prepare and submit a notification of CMS performance</t>
  </si>
  <si>
    <t>evaluation</t>
  </si>
  <si>
    <t>Develop and submit a CMS site-specific performance</t>
  </si>
  <si>
    <t>evaluation test plan</t>
  </si>
  <si>
    <t>Submit additional relevant information, if requested by the</t>
  </si>
  <si>
    <t>Submission of site-specific peformance evaluation test plan (63.1209(d) and 63.8(e)(3))</t>
  </si>
  <si>
    <t xml:space="preserve">Prepare and submit additional notification requirements for </t>
  </si>
  <si>
    <t>source with CMS</t>
  </si>
  <si>
    <t>will provide the same level of control as original carbon</t>
  </si>
  <si>
    <t>Document in the operating record that replacement inhibitor</t>
  </si>
  <si>
    <t>Request additional time extension for waiving PM and Opacity stnds</t>
  </si>
  <si>
    <t>Alternative hydrocarbon monitoring location for short cement kilns burning haz waste at location other than hot end of kiln</t>
  </si>
  <si>
    <t>Alternative compliance monitoring requirements for standards other than those monitored with a CEMS (63.1209(g)(1))</t>
  </si>
  <si>
    <t>Automatic waste feed cutoff (63.1206(c)(3))</t>
  </si>
  <si>
    <t>Prepare and submit the request for an extension of compliance</t>
  </si>
  <si>
    <t xml:space="preserve">opening and result of the investigation and corrective </t>
  </si>
  <si>
    <t>Prepare and submit a request to use an alternative means of</t>
  </si>
  <si>
    <t>of compliance the methods used to control combustion system leaks</t>
  </si>
  <si>
    <t>Specify in the comprehensive test workplan and the notification</t>
  </si>
  <si>
    <t>Prepare and submit a request for a 6 month time extension for</t>
  </si>
  <si>
    <t>conducting a performance test if test plan has not been approved</t>
  </si>
  <si>
    <t>Notify public of request for time extension</t>
  </si>
  <si>
    <t>and keep records of the certification and training activities</t>
  </si>
  <si>
    <t>Prepare an operation and maintenance plan and</t>
  </si>
  <si>
    <t>WHO IS SUBJECT TO THESE REGULATIONS</t>
  </si>
  <si>
    <t>COMPLIANCE WITH THE STANDARDS AND OPERATING REQUIREMENTS</t>
  </si>
  <si>
    <t>Extension of compliance with emission standards (63.1206(b)(4), 63.6(i), 63.1213, and 63.9(c))</t>
  </si>
  <si>
    <t>Changes in design, operation, or maintenance (63.1206(b)(5))</t>
  </si>
  <si>
    <t>Document quality of previous DRE test data</t>
  </si>
  <si>
    <t>Applicability of particulate matter and opacity standards during particulate matter CEMS correlation tests (63.1206(b)(8))</t>
  </si>
  <si>
    <t>Hazardous waste residence time</t>
  </si>
  <si>
    <t>Document hazardous waste residence time in operating record</t>
  </si>
  <si>
    <t>Startup, shutdown, and malfunction plan (63.1206(c)(2) and 63.6(e)(3))</t>
  </si>
  <si>
    <t>Prepare and submit a petition for alternative monitoring</t>
  </si>
  <si>
    <t>location and emission standards</t>
  </si>
  <si>
    <t>Have it reviewed and approved by EPA</t>
  </si>
  <si>
    <t>Test the AWFCO system monthly, and record results in</t>
  </si>
  <si>
    <t>ESV openings (63.1206(c)(4))</t>
  </si>
  <si>
    <t>record the findings and corrective measures in the operating</t>
  </si>
  <si>
    <t>record, and determine if ESV caused non-compliance</t>
  </si>
  <si>
    <t>measures taken, and whether ESV event caused non-compliance</t>
  </si>
  <si>
    <t>Develop an operator training and certification program,</t>
  </si>
  <si>
    <t>implement the program, record the plan in the operating record,</t>
  </si>
  <si>
    <t>Request 60 day extention to complete testing</t>
  </si>
  <si>
    <t>Request additional time for waiving OPLs for pretesting</t>
  </si>
  <si>
    <t>Waiver of performance tests and request for time extension (63.1207(h) and 63.1207(m))</t>
  </si>
  <si>
    <t>Continuous monitoring systems (CMS)</t>
  </si>
  <si>
    <t>For existing and new cement kilns, install, calibrate, maintain,</t>
  </si>
  <si>
    <t>Quality control program (63.1209(d) and 63.8(d)</t>
  </si>
  <si>
    <t>Use of CEMS in lieu of OPLs; or alternative methods in lieu of CEMS (63.1209(a)(5))</t>
  </si>
  <si>
    <t>Document in the operating record procedures</t>
  </si>
  <si>
    <t>used to ensure carbon bed lifetime is being</t>
  </si>
  <si>
    <t>sufficiently monitored and controlled</t>
  </si>
  <si>
    <t>Additional notification requirements for CMS (63.9(g)(2) and (3))</t>
  </si>
  <si>
    <t>Reporting results of CMS performance evaluations (63.10(e)(2))</t>
  </si>
  <si>
    <t>Initial notification 63.9(b) and 63.5(d)</t>
  </si>
  <si>
    <t>Prepare and submit and initial notification</t>
  </si>
  <si>
    <t>Prepare and submit an application of approval of construction</t>
  </si>
  <si>
    <t>as applicable</t>
  </si>
  <si>
    <t>Prepare and submit an application of approval of reconstruction</t>
  </si>
  <si>
    <t>Submit additional relevant information as requested by the</t>
  </si>
  <si>
    <t>Adjustment to time periods or postmark deadlines for submittal and review of required communications 63.9(i)</t>
  </si>
  <si>
    <t>Prepare and submit a request for an adjustment to a time</t>
  </si>
  <si>
    <t>period or postmark deadline</t>
  </si>
  <si>
    <t>Change in information already provided 63.9(i)</t>
  </si>
  <si>
    <t>Submit change(s) in the information already provided, as</t>
  </si>
  <si>
    <t>Request to reduce frequency of excess emissions and continuous monitoring system performance results 63.10(e)(3)(ii)</t>
  </si>
  <si>
    <t>Prepare and submit a request to reduce the frequency of</t>
  </si>
  <si>
    <t>excess emissions and CMS performance reports</t>
  </si>
  <si>
    <t>Waiver of recordkeeping and reporting requirements</t>
  </si>
  <si>
    <t>Prepare and submit a waiver of recordkeeping and reporting</t>
  </si>
  <si>
    <t>Prepare and submit request for approval to use data</t>
  </si>
  <si>
    <t>compression techniques to record data on a less frequent</t>
  </si>
  <si>
    <t>basis than required by Section 63.1209</t>
  </si>
  <si>
    <t>Startup, shutdown, and malfunction reports 63.10(d)(5)(i) and (ii)</t>
  </si>
  <si>
    <t>Prepare and submit a periodic startup, shutdown, and</t>
  </si>
  <si>
    <t>malfunction report, as applicable</t>
  </si>
  <si>
    <t>Prepare and submit an immediate startup, shutdown, and</t>
  </si>
  <si>
    <t>Excess emissions and continuous monitoring system performance report and summary report 63.10(e)(3)</t>
  </si>
  <si>
    <t>Prepare and submit an excess emissions and monitoring</t>
  </si>
  <si>
    <t>system performance report and summary report</t>
  </si>
  <si>
    <t>General recordkeeping requirements 63.10(b)</t>
  </si>
  <si>
    <t>Retain files of all information (including all reports and)</t>
  </si>
  <si>
    <t>notifications) for atleast 5 years</t>
  </si>
  <si>
    <t>Additional recordkeeping requirements for source with CMS (63.10(c))</t>
  </si>
  <si>
    <t>systems</t>
  </si>
  <si>
    <t>Documentation of Compliance 63.1211(d)</t>
  </si>
  <si>
    <t>Develop a Documentation of Compliance and include it in the</t>
  </si>
  <si>
    <t>Extension of the compliance date to install pollution prevention or waste minimization controls (63.1213)</t>
  </si>
  <si>
    <t>Prepare and submit the request for an extrension of compliance</t>
  </si>
  <si>
    <t>date due to waste minimization controls</t>
  </si>
  <si>
    <t>Quality control (QC) requirements (63, Subpart EEE Appendix, Section 1.1)</t>
  </si>
  <si>
    <t>Develop and implement a QC program</t>
  </si>
  <si>
    <t>Revise program, if necessary</t>
  </si>
  <si>
    <t>Record program in operating record</t>
  </si>
  <si>
    <t>Quality assurance (QA) requirements (63, Subpart EEE Appendix, Section 1.1)</t>
  </si>
  <si>
    <t>Develop and implement a QA program</t>
  </si>
  <si>
    <t>Revise or update plan, if necessary</t>
  </si>
  <si>
    <t>Record plan in the operating record</t>
  </si>
  <si>
    <t>Calibration drift (CD) and zero drift (ZD) assessment and daily system audit (63, Subpart EEE Appendix, Section 4)</t>
  </si>
  <si>
    <t>Check, record, and quantify the ZD and the CD</t>
  </si>
  <si>
    <t>at least once daily (330 times per year)</t>
  </si>
  <si>
    <t xml:space="preserve">Retain all CEMS measurements in the </t>
  </si>
  <si>
    <t>operating record for at least 5 years</t>
  </si>
  <si>
    <t>Performance Evaluation (Appendix EEE, Section 5)</t>
  </si>
  <si>
    <t>Conduct ACA, RATA, or interference reponse test as</t>
  </si>
  <si>
    <t>applicable</t>
  </si>
  <si>
    <t>Prepare and submit a written report of the results of the</t>
  </si>
  <si>
    <t>performance evaluation</t>
  </si>
  <si>
    <t>Use of alternative CEMS spans (63, Subpart EEE Appendix, Section 6.3.5)</t>
  </si>
  <si>
    <t xml:space="preserve">  Prepare and submit a request to use an</t>
  </si>
  <si>
    <t xml:space="preserve">  alternative CEMS span</t>
  </si>
  <si>
    <t>Exhibit 1: Respondent Burden and Cost</t>
  </si>
  <si>
    <t>PERFORMANCE TESTING REQUIREMENTS</t>
  </si>
  <si>
    <t>CMS PERFORMANCE EVALUATIONS</t>
  </si>
  <si>
    <t>MISCELLANEOUS NOTIFICATION REQUIREMENTS</t>
  </si>
  <si>
    <t>POLLUTION PREVENTION OR WASTE MINIMIZATION</t>
  </si>
  <si>
    <t>QUALITY ASSURANCE PROCEDURES FOR CEMS</t>
  </si>
  <si>
    <t>Perform waste analysis four time annually (non-commercial</t>
  </si>
  <si>
    <t>date due to installation of pollution prevention controls</t>
  </si>
  <si>
    <t>Maintain additional records for continuous monitoring</t>
  </si>
  <si>
    <t>MONITORING REQUIREMENTS</t>
  </si>
  <si>
    <t>Install and operate and maintain CMS</t>
  </si>
  <si>
    <t>Total (Compliance and Standards)</t>
  </si>
  <si>
    <t>Total (Performance Testing)</t>
  </si>
  <si>
    <t>Total (Monitoring)</t>
  </si>
  <si>
    <t>GRAND TOTAL</t>
  </si>
  <si>
    <t>Total (QA for CEMS)</t>
  </si>
  <si>
    <t>Total (Pollution Prevention)</t>
  </si>
  <si>
    <t>Total (Miscellaneous Recordkeeping and Reporting)</t>
  </si>
  <si>
    <t>Total (CMS Performance Evaluations)</t>
  </si>
  <si>
    <t>Document in the operating record the operating and maintenance</t>
  </si>
  <si>
    <t>plan ramp down procedures, as applicable</t>
  </si>
  <si>
    <t>put in the operating record</t>
  </si>
  <si>
    <t>put plan in the operating record</t>
  </si>
  <si>
    <t>Excessive emissions reporting</t>
  </si>
  <si>
    <t>Data compression</t>
  </si>
  <si>
    <t>MACT STANDARDS</t>
  </si>
  <si>
    <t>applicable CAA requirements in lieu of the requirements</t>
  </si>
  <si>
    <t>of Subpart EEE</t>
  </si>
  <si>
    <t>Recommend alternative OPLs for units with ESP or IWSs</t>
  </si>
  <si>
    <t>Prepare draft NIC</t>
  </si>
  <si>
    <t>Notify public about meeting and draft NIC</t>
  </si>
  <si>
    <t>Conduct public meeting</t>
  </si>
  <si>
    <t>Prepare and submit final NIC</t>
  </si>
  <si>
    <t>Prepare progress report</t>
  </si>
  <si>
    <t>Total (Who is Subject to These Regulations)</t>
  </si>
  <si>
    <t>Total (MACT Standards)</t>
  </si>
  <si>
    <t>MISCELLANEOUS REQUIREMENTS</t>
  </si>
  <si>
    <t>Alternative risk based chlorine standards</t>
  </si>
  <si>
    <t>Make request to use risk based chlorine stnds</t>
  </si>
  <si>
    <t>HCl Production Furnace storage and transfer requirements</t>
  </si>
  <si>
    <t>Develop, implement Leak Detection and Repair Plan</t>
  </si>
  <si>
    <t>Demonstrate compliance with storage and transfer control reqs</t>
  </si>
  <si>
    <t>Total (Miscellaneous Requirements)</t>
  </si>
  <si>
    <t>Incinerators</t>
  </si>
  <si>
    <t>Cement Kilns</t>
  </si>
  <si>
    <t>LWAKs</t>
  </si>
  <si>
    <t>LFB</t>
  </si>
  <si>
    <t>SFB</t>
  </si>
  <si>
    <t>HCl Prod Furn</t>
  </si>
  <si>
    <t>Phase II</t>
  </si>
  <si>
    <t>One-time D/F testing for units w/out numerical D/F stnd</t>
  </si>
  <si>
    <t>Monitor and record feedrates</t>
  </si>
  <si>
    <t>Hours</t>
  </si>
  <si>
    <t>Costs</t>
  </si>
  <si>
    <t>hr/yr</t>
  </si>
  <si>
    <t>$/yr</t>
  </si>
  <si>
    <t>/hr</t>
  </si>
  <si>
    <t>Total Respondent Hours per Labor Category</t>
  </si>
  <si>
    <t>Inflation Adjusted Hourly Rate</t>
  </si>
  <si>
    <t>Fac</t>
  </si>
  <si>
    <t>s/3</t>
  </si>
  <si>
    <t>f/3</t>
  </si>
  <si>
    <t>Conduct performance testing when the raw mills is on line and</t>
  </si>
  <si>
    <t>when the mill is off-line</t>
  </si>
  <si>
    <t xml:space="preserve">Prepare and submit notification of compliance using the </t>
  </si>
  <si>
    <t xml:space="preserve">emission averaging requirements for cement kilns with in-line </t>
  </si>
  <si>
    <t>raw mills</t>
  </si>
  <si>
    <t>Document in operating record compliance with the</t>
  </si>
  <si>
    <t>All</t>
  </si>
  <si>
    <t>Comm Units</t>
  </si>
  <si>
    <t>OS units</t>
  </si>
  <si>
    <t xml:space="preserve">corrective measures to minimize future AWFCOs, and </t>
  </si>
  <si>
    <t>COMS performance evaluation, as applicable</t>
  </si>
  <si>
    <t>Develop and implement a CMS QC program</t>
  </si>
  <si>
    <t>Conduct Correlation testing for PM Detectors</t>
  </si>
  <si>
    <t>$</t>
  </si>
  <si>
    <t>hrs</t>
  </si>
  <si>
    <t>Install and operate bag leak detectors or PM Detectors. Document alarm limit exceedences and corrective action taken. Notify EPA if alarm limit is exceeded more than 5% of the time in a 6-month block period</t>
  </si>
  <si>
    <t>Capital</t>
  </si>
  <si>
    <t xml:space="preserve">Labor </t>
  </si>
  <si>
    <t>Who is Subject to Regs</t>
  </si>
  <si>
    <t>MACT Standards</t>
  </si>
  <si>
    <t>Performance Testing Requirements</t>
  </si>
  <si>
    <t>How/When to Comply</t>
  </si>
  <si>
    <t>Monitoring Requirements</t>
  </si>
  <si>
    <t>CMS Performance Eval</t>
  </si>
  <si>
    <t>Misc Notification</t>
  </si>
  <si>
    <t>Waste Min</t>
  </si>
  <si>
    <t>QA for CEMS</t>
  </si>
  <si>
    <t>Misc</t>
  </si>
  <si>
    <t>Misc Recordkeeping/Reporting</t>
  </si>
  <si>
    <t>s-Addl</t>
  </si>
  <si>
    <t>s-Est New</t>
  </si>
  <si>
    <t>s-total</t>
  </si>
  <si>
    <t>Phase I</t>
  </si>
  <si>
    <t>Use of previous test results to document compliance with MACT DRE standard (63.1206(b)(7))</t>
  </si>
  <si>
    <t>Operation and maintenance plan (63.1206 (c)(7))</t>
  </si>
  <si>
    <t>Notification of performance test and CMS perfomance evaluation and approval of test plan CMS performance evaluation plan (63.1207(e))</t>
  </si>
  <si>
    <t>Total chlorine (hydrochloride and chlorine gas) (63.1209(o))</t>
  </si>
  <si>
    <t>Notice of intent to comply 63.1206(b)-(d)</t>
  </si>
  <si>
    <t>MISCELLANEOUS RECORDKEEPING &amp; REPORTING REQUIREMENTS</t>
  </si>
  <si>
    <t>RECORDKEEPING</t>
  </si>
  <si>
    <t>REPORTING</t>
  </si>
  <si>
    <t xml:space="preserve">Document in the operating record compliance with </t>
  </si>
  <si>
    <t>Compliance with alternative MACT standards when not burning Hazardous Waste(63.1206(b)(1)(ii))</t>
  </si>
  <si>
    <t>SUMMARY LABOR HOURS/ CAPITAL O&amp;M Costs - 2005 ICR for reference</t>
  </si>
  <si>
    <t>SUMMARY LABOR HOURS/ CAPITAL O&amp;M Costs -2008 ICR</t>
  </si>
  <si>
    <t xml:space="preserve"> Base Hourly Wage 2005 ICR (burdened)</t>
  </si>
  <si>
    <t>Inflation Factor</t>
  </si>
  <si>
    <t>Grade B/0 Step 1 Step 2 Step 3 Step 4 Step 5 Step 6 Step 7 Step 8 Step 9 Step 10</t>
  </si>
  <si>
    <t>1 B $ 8.17 $ 8.44 $ 8.71 $ 8.98 $ 9.25 $ 9.41 $ 9.68 $ 9.95 $ 9.96 $ 10.22</t>
  </si>
  <si>
    <t>O 12.26 12.66 13.07 13.47 13.88 14.12 14.52 14.93 14.94 15.33</t>
  </si>
  <si>
    <t>2 B 9.18 9.40 9.71 9.96 10.07 10.37 10.67 10.96 11.26 11.55</t>
  </si>
  <si>
    <t>O 13.77 14.10 14.57 14.94 15.11 15.56 16.01 16.44 16.89 17.33</t>
  </si>
  <si>
    <t>3 B 10.02 10.35 10.69 11.02 11.36 11.69 12.02 12.36 12.69 13.03</t>
  </si>
  <si>
    <t>O 15.03 15.53 16.04 16.53 17.04 17.54 18.03 18.54 19.04 19.55</t>
  </si>
  <si>
    <t>4 B 11.25 11.62 12.00 12.37 12.75 13.12 13.50 13.87 14.25 14.62</t>
  </si>
  <si>
    <t>O 16.88 17.43 18.00 18.56 19.13 19.68 20.25 20.81 21.38 21.93</t>
  </si>
  <si>
    <t>5 B 12.58 13.00 13.42 13.84 14.26 14.68 15.10 15.52 15.94 16.36</t>
  </si>
  <si>
    <t>O 18.87 19.50 20.13 20.76 21.39 22.02 22.65 23.28 23.91 24.54</t>
  </si>
  <si>
    <t>6 B 14.03 14.50 14.96 15.43 15.90 16.37 16.83 17.30 17.77 18.24</t>
  </si>
  <si>
    <t>O 21.05 21.75 22.44 23.15 23.85 24.56 25.25 25.95 26.66 27.36</t>
  </si>
  <si>
    <t>7 B 15.59 16.11 16.63 17.15 17.67 18.19 18.71 19.22 19.74 20.26</t>
  </si>
  <si>
    <t>O 23.39 24.17 24.95 25.73 26.51 27.29 28.07 28.83 29.61 30.39</t>
  </si>
  <si>
    <t>8 B 17.26 17.84 18.41 18.99 19.57 20.14 20.72 21.29 21.87 22.44</t>
  </si>
  <si>
    <t>O 25.89 26.76 27.62 28.49 29.36 30.21 31.08 31.50 31.50 31.50</t>
  </si>
  <si>
    <t>9 B 19.07 19.70 20.34 20.98 21.61 22.25 22.88 23.52 24.15 24.79</t>
  </si>
  <si>
    <t>O 28.61 29.55 30.51 31.47 31.50 31.50 31.50 31.50 31.50 31.50</t>
  </si>
  <si>
    <t>10 B 21.00 21.70 22.40 23.10 23.80 24.50 25.20 25.90 26.60 27.30</t>
  </si>
  <si>
    <t>O 31.50 31.50 31.50 31.50 31.50 31.50 31.50 31.50 31.50 31.50</t>
  </si>
  <si>
    <t>11 B 23.07 23.84 24.61 25.38 26.15 26.92 27.68 28.45 29.22 29.99</t>
  </si>
  <si>
    <t>12 B 27.65 28.57 29.50 30.42 31.34 32.26 33.18 34.10 35.03 35.95</t>
  </si>
  <si>
    <t>O 31.50 31.50 31.50 31.50 31.50 32.26 33.18 34.10 35.03 35.95</t>
  </si>
  <si>
    <t>13 B 32.88 33.98 35.07 36.17 37.27 38.36 39.46 40.56 41.65 42.75</t>
  </si>
  <si>
    <t>O 32.88 33.98 35.07 36.17 37.27 38.36 39.46 40.56 41.65 42.75</t>
  </si>
  <si>
    <t>14 B 38.86 40.15 41.45 42.74 44.04 45.33 46.63 47.92 49.22 50.51</t>
  </si>
  <si>
    <t>O 38.86 40.15 41.45 42.74 44.04 45.33 46.63 47.92 49.22 50.51</t>
  </si>
  <si>
    <t>15 B 45.71 47.23 48.75 50.28 51.80 53.33 54.85 56.37 57.90 59.42</t>
  </si>
  <si>
    <t>O 45.71 47.23 48.75 50.28 51.80 53.33 54.85 56.37</t>
  </si>
  <si>
    <t>http://www.opm.gov/oca/08tables/pdf/gs_h.pdf</t>
  </si>
  <si>
    <t>Cement kilns with in-line raw mills (63.1220(d))</t>
  </si>
  <si>
    <t>Sister Units</t>
  </si>
  <si>
    <t>Feedstreams Analysis  Plan (63.1209(c)(2))</t>
  </si>
  <si>
    <t>Hour and Cost Burden- Private Sector</t>
  </si>
  <si>
    <t>Hours per Response</t>
  </si>
  <si>
    <t>Total Annual Hour Burden</t>
  </si>
  <si>
    <t>Cost per Response (Capital/Startup and O&amp;M Costs Only)</t>
  </si>
  <si>
    <t>Total Annual Cost Burden (Capital/Startup and O&amp;M Costs Only)</t>
  </si>
  <si>
    <t>Reporting</t>
  </si>
  <si>
    <t>Recordkeeping</t>
  </si>
  <si>
    <t>Third Party Disclosure</t>
  </si>
  <si>
    <t>Reporting (RP) vs. Recordkeeping (RK)</t>
  </si>
  <si>
    <t>Reporting vs. Recordkeeping</t>
  </si>
  <si>
    <t>No. Responses</t>
  </si>
  <si>
    <t>Total Hours</t>
  </si>
  <si>
    <t xml:space="preserve">Capital/O&amp;M </t>
  </si>
  <si>
    <t>RK</t>
  </si>
  <si>
    <t>RP</t>
  </si>
  <si>
    <t>Total (Miscellaneous Notification)</t>
  </si>
  <si>
    <t>.</t>
  </si>
  <si>
    <t>June to Dec 2005</t>
  </si>
  <si>
    <t>CPI</t>
  </si>
  <si>
    <t>J</t>
  </si>
  <si>
    <t>A</t>
  </si>
  <si>
    <t>S</t>
  </si>
  <si>
    <t>O</t>
  </si>
  <si>
    <t>N</t>
  </si>
  <si>
    <t>D</t>
  </si>
  <si>
    <t>Jan to June 2008</t>
  </si>
  <si>
    <t>F</t>
  </si>
  <si>
    <t>M</t>
  </si>
  <si>
    <t>http://www.bls.gov/news.release/archives/cpi_06132008.pdf</t>
  </si>
  <si>
    <t>Sept</t>
  </si>
  <si>
    <t>Dec</t>
  </si>
  <si>
    <t>ECI- Private Ind Comp Costs</t>
  </si>
  <si>
    <t>Mar</t>
  </si>
  <si>
    <t>J (EST)</t>
  </si>
  <si>
    <t>Jun(EST)</t>
  </si>
  <si>
    <t>http://www.bls.gov/news.release/pdf/eci.pdf</t>
  </si>
  <si>
    <t>Sources 2012 DB</t>
  </si>
  <si>
    <t>Reporting (1446 Responses)</t>
  </si>
  <si>
    <t>Recordkeeping (1241 Responses)</t>
  </si>
  <si>
    <t>Total (2687 Responses)</t>
  </si>
  <si>
    <t>O&amp;M + Labor</t>
  </si>
</sst>
</file>

<file path=xl/styles.xml><?xml version="1.0" encoding="utf-8"?>
<styleSheet xmlns="http://schemas.openxmlformats.org/spreadsheetml/2006/main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"/>
    <numFmt numFmtId="166" formatCode="_(* #,##0.0_);_(* \(#,##0.0\);_(* &quot;-&quot;??_);_(@_)"/>
    <numFmt numFmtId="167" formatCode="0.0"/>
    <numFmt numFmtId="168" formatCode="&quot;$&quot;#,##0.00"/>
    <numFmt numFmtId="169" formatCode="&quot;$&quot;#,##0"/>
    <numFmt numFmtId="170" formatCode="&quot;$&quot;#,##0.0"/>
    <numFmt numFmtId="171" formatCode="0.00_);\(0.00\)"/>
    <numFmt numFmtId="172" formatCode="[$-409]mmm\-yy;@"/>
    <numFmt numFmtId="173" formatCode="0_);\(0\)"/>
  </numFmts>
  <fonts count="10">
    <font>
      <sz val="8"/>
      <name val="Helv"/>
    </font>
    <font>
      <sz val="10"/>
      <name val="Arial"/>
      <family val="2"/>
    </font>
    <font>
      <u/>
      <sz val="8"/>
      <color indexed="12"/>
      <name val="Helv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8"/>
      <name val="Helv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</fills>
  <borders count="20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/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67">
    <xf numFmtId="164" fontId="0" fillId="0" borderId="0" xfId="0"/>
    <xf numFmtId="164" fontId="3" fillId="0" borderId="0" xfId="0" applyFont="1"/>
    <xf numFmtId="167" fontId="3" fillId="3" borderId="0" xfId="0" applyNumberFormat="1" applyFont="1" applyFill="1" applyProtection="1"/>
    <xf numFmtId="3" fontId="3" fillId="3" borderId="0" xfId="0" applyNumberFormat="1" applyFont="1" applyFill="1" applyProtection="1"/>
    <xf numFmtId="169" fontId="3" fillId="3" borderId="0" xfId="0" applyNumberFormat="1" applyFont="1" applyFill="1" applyProtection="1"/>
    <xf numFmtId="169" fontId="3" fillId="3" borderId="0" xfId="0" applyNumberFormat="1" applyFont="1" applyFill="1"/>
    <xf numFmtId="165" fontId="3" fillId="3" borderId="0" xfId="1" applyNumberFormat="1" applyFont="1" applyFill="1"/>
    <xf numFmtId="165" fontId="3" fillId="3" borderId="0" xfId="1" applyNumberFormat="1" applyFont="1" applyFill="1" applyProtection="1"/>
    <xf numFmtId="169" fontId="3" fillId="3" borderId="0" xfId="1" applyNumberFormat="1" applyFont="1" applyFill="1" applyProtection="1"/>
    <xf numFmtId="0" fontId="3" fillId="0" borderId="0" xfId="0" applyNumberFormat="1" applyFont="1"/>
    <xf numFmtId="164" fontId="3" fillId="3" borderId="0" xfId="0" applyFont="1" applyFill="1"/>
    <xf numFmtId="167" fontId="4" fillId="3" borderId="0" xfId="0" applyNumberFormat="1" applyFont="1" applyFill="1"/>
    <xf numFmtId="167" fontId="3" fillId="0" borderId="0" xfId="0" applyNumberFormat="1" applyFont="1"/>
    <xf numFmtId="166" fontId="3" fillId="0" borderId="0" xfId="1" applyNumberFormat="1" applyFont="1"/>
    <xf numFmtId="169" fontId="3" fillId="0" borderId="0" xfId="0" applyNumberFormat="1" applyFont="1"/>
    <xf numFmtId="165" fontId="3" fillId="0" borderId="0" xfId="1" applyNumberFormat="1" applyFont="1"/>
    <xf numFmtId="169" fontId="3" fillId="0" borderId="0" xfId="1" applyNumberFormat="1" applyFont="1"/>
    <xf numFmtId="164" fontId="5" fillId="3" borderId="0" xfId="0" applyNumberFormat="1" applyFont="1" applyFill="1" applyAlignment="1" applyProtection="1">
      <alignment horizontal="left"/>
    </xf>
    <xf numFmtId="164" fontId="4" fillId="3" borderId="0" xfId="0" quotePrefix="1" applyNumberFormat="1" applyFont="1" applyFill="1" applyAlignment="1" applyProtection="1">
      <alignment horizontal="left"/>
    </xf>
    <xf numFmtId="167" fontId="3" fillId="3" borderId="0" xfId="0" applyNumberFormat="1" applyFont="1" applyFill="1" applyAlignment="1" applyProtection="1">
      <alignment horizontal="centerContinuous"/>
    </xf>
    <xf numFmtId="3" fontId="3" fillId="3" borderId="0" xfId="0" applyNumberFormat="1" applyFont="1" applyFill="1" applyAlignment="1" applyProtection="1">
      <alignment horizontal="centerContinuous"/>
    </xf>
    <xf numFmtId="169" fontId="3" fillId="3" borderId="0" xfId="0" applyNumberFormat="1" applyFont="1" applyFill="1" applyAlignment="1" applyProtection="1">
      <alignment horizontal="centerContinuous"/>
    </xf>
    <xf numFmtId="169" fontId="3" fillId="3" borderId="0" xfId="0" applyNumberFormat="1" applyFont="1" applyFill="1" applyAlignment="1">
      <alignment horizontal="centerContinuous"/>
    </xf>
    <xf numFmtId="165" fontId="3" fillId="3" borderId="0" xfId="1" applyNumberFormat="1" applyFont="1" applyFill="1" applyAlignment="1" applyProtection="1">
      <alignment horizontal="center"/>
    </xf>
    <xf numFmtId="169" fontId="3" fillId="3" borderId="0" xfId="1" applyNumberFormat="1" applyFont="1" applyFill="1" applyAlignment="1" applyProtection="1">
      <alignment horizontal="center"/>
    </xf>
    <xf numFmtId="167" fontId="3" fillId="3" borderId="1" xfId="0" applyNumberFormat="1" applyFont="1" applyFill="1" applyBorder="1" applyProtection="1"/>
    <xf numFmtId="3" fontId="3" fillId="3" borderId="1" xfId="0" applyNumberFormat="1" applyFont="1" applyFill="1" applyBorder="1" applyProtection="1"/>
    <xf numFmtId="169" fontId="3" fillId="3" borderId="1" xfId="0" applyNumberFormat="1" applyFont="1" applyFill="1" applyBorder="1" applyProtection="1"/>
    <xf numFmtId="169" fontId="3" fillId="3" borderId="1" xfId="0" applyNumberFormat="1" applyFont="1" applyFill="1" applyBorder="1"/>
    <xf numFmtId="169" fontId="3" fillId="3" borderId="2" xfId="0" applyNumberFormat="1" applyFont="1" applyFill="1" applyBorder="1"/>
    <xf numFmtId="165" fontId="3" fillId="3" borderId="3" xfId="1" applyNumberFormat="1" applyFont="1" applyFill="1" applyBorder="1" applyProtection="1"/>
    <xf numFmtId="165" fontId="3" fillId="3" borderId="1" xfId="1" applyNumberFormat="1" applyFont="1" applyFill="1" applyBorder="1" applyProtection="1"/>
    <xf numFmtId="169" fontId="3" fillId="3" borderId="1" xfId="1" applyNumberFormat="1" applyFont="1" applyFill="1" applyBorder="1" applyProtection="1"/>
    <xf numFmtId="169" fontId="3" fillId="3" borderId="0" xfId="0" applyNumberFormat="1" applyFont="1" applyFill="1" applyAlignment="1" applyProtection="1">
      <alignment horizontal="center"/>
    </xf>
    <xf numFmtId="169" fontId="3" fillId="3" borderId="0" xfId="0" applyNumberFormat="1" applyFont="1" applyFill="1" applyBorder="1" applyAlignment="1" applyProtection="1">
      <alignment horizontal="center"/>
    </xf>
    <xf numFmtId="164" fontId="3" fillId="3" borderId="0" xfId="0" applyNumberFormat="1" applyFont="1" applyFill="1" applyBorder="1" applyAlignment="1" applyProtection="1">
      <alignment horizontal="left"/>
    </xf>
    <xf numFmtId="167" fontId="3" fillId="3" borderId="0" xfId="0" applyNumberFormat="1" applyFont="1" applyFill="1" applyBorder="1" applyAlignment="1" applyProtection="1">
      <alignment horizontal="center"/>
    </xf>
    <xf numFmtId="3" fontId="3" fillId="3" borderId="0" xfId="0" applyNumberFormat="1" applyFont="1" applyFill="1" applyBorder="1" applyAlignment="1" applyProtection="1">
      <alignment horizontal="center"/>
    </xf>
    <xf numFmtId="169" fontId="3" fillId="3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3" borderId="0" xfId="1" applyNumberFormat="1" applyFont="1" applyFill="1" applyBorder="1" applyAlignment="1" applyProtection="1">
      <alignment horizontal="center"/>
    </xf>
    <xf numFmtId="165" fontId="3" fillId="3" borderId="4" xfId="1" applyNumberFormat="1" applyFont="1" applyFill="1" applyBorder="1" applyAlignment="1" applyProtection="1">
      <alignment horizontal="center"/>
    </xf>
    <xf numFmtId="169" fontId="3" fillId="3" borderId="4" xfId="0" applyNumberFormat="1" applyFont="1" applyFill="1" applyBorder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left"/>
    </xf>
    <xf numFmtId="164" fontId="3" fillId="3" borderId="6" xfId="0" applyNumberFormat="1" applyFont="1" applyFill="1" applyBorder="1" applyAlignment="1" applyProtection="1">
      <alignment horizontal="left"/>
    </xf>
    <xf numFmtId="167" fontId="3" fillId="3" borderId="7" xfId="0" applyNumberFormat="1" applyFont="1" applyFill="1" applyBorder="1" applyAlignment="1" applyProtection="1">
      <alignment horizontal="right"/>
    </xf>
    <xf numFmtId="3" fontId="3" fillId="3" borderId="7" xfId="0" applyNumberFormat="1" applyFont="1" applyFill="1" applyBorder="1" applyAlignment="1" applyProtection="1">
      <alignment horizontal="right"/>
    </xf>
    <xf numFmtId="169" fontId="3" fillId="3" borderId="7" xfId="0" applyNumberFormat="1" applyFont="1" applyFill="1" applyBorder="1" applyAlignment="1" applyProtection="1">
      <alignment horizontal="right"/>
    </xf>
    <xf numFmtId="169" fontId="3" fillId="3" borderId="8" xfId="0" applyNumberFormat="1" applyFont="1" applyFill="1" applyBorder="1" applyAlignment="1" applyProtection="1">
      <alignment horizontal="right"/>
    </xf>
    <xf numFmtId="165" fontId="3" fillId="3" borderId="9" xfId="1" applyNumberFormat="1" applyFont="1" applyFill="1" applyBorder="1" applyAlignment="1">
      <alignment horizontal="right"/>
    </xf>
    <xf numFmtId="165" fontId="3" fillId="3" borderId="7" xfId="1" applyNumberFormat="1" applyFont="1" applyFill="1" applyBorder="1" applyAlignment="1" applyProtection="1">
      <alignment horizontal="right"/>
    </xf>
    <xf numFmtId="169" fontId="3" fillId="3" borderId="10" xfId="1" applyNumberFormat="1" applyFont="1" applyFill="1" applyBorder="1" applyAlignment="1" applyProtection="1">
      <alignment horizontal="right"/>
    </xf>
    <xf numFmtId="169" fontId="3" fillId="3" borderId="11" xfId="0" applyNumberFormat="1" applyFont="1" applyFill="1" applyBorder="1" applyAlignment="1" applyProtection="1">
      <alignment horizontal="right"/>
    </xf>
    <xf numFmtId="164" fontId="3" fillId="3" borderId="12" xfId="0" applyNumberFormat="1" applyFont="1" applyFill="1" applyBorder="1" applyAlignment="1" applyProtection="1">
      <alignment horizontal="left"/>
    </xf>
    <xf numFmtId="164" fontId="3" fillId="3" borderId="13" xfId="0" applyNumberFormat="1" applyFont="1" applyFill="1" applyBorder="1" applyAlignment="1" applyProtection="1">
      <alignment horizontal="left"/>
    </xf>
    <xf numFmtId="167" fontId="3" fillId="3" borderId="14" xfId="0" applyNumberFormat="1" applyFont="1" applyFill="1" applyBorder="1" applyAlignment="1" applyProtection="1">
      <alignment horizontal="right"/>
    </xf>
    <xf numFmtId="3" fontId="3" fillId="3" borderId="14" xfId="0" applyNumberFormat="1" applyFont="1" applyFill="1" applyBorder="1" applyAlignment="1" applyProtection="1">
      <alignment horizontal="right"/>
    </xf>
    <xf numFmtId="169" fontId="3" fillId="3" borderId="14" xfId="0" applyNumberFormat="1" applyFont="1" applyFill="1" applyBorder="1" applyAlignment="1" applyProtection="1">
      <alignment horizontal="right"/>
    </xf>
    <xf numFmtId="169" fontId="3" fillId="3" borderId="15" xfId="0" applyNumberFormat="1" applyFont="1" applyFill="1" applyBorder="1" applyAlignment="1" applyProtection="1">
      <alignment horizontal="right"/>
    </xf>
    <xf numFmtId="165" fontId="3" fillId="3" borderId="13" xfId="1" applyNumberFormat="1" applyFont="1" applyFill="1" applyBorder="1" applyAlignment="1" applyProtection="1">
      <alignment horizontal="right"/>
    </xf>
    <xf numFmtId="165" fontId="3" fillId="3" borderId="14" xfId="1" applyNumberFormat="1" applyFont="1" applyFill="1" applyBorder="1" applyAlignment="1" applyProtection="1">
      <alignment horizontal="right"/>
    </xf>
    <xf numFmtId="169" fontId="3" fillId="3" borderId="14" xfId="1" applyNumberFormat="1" applyFont="1" applyFill="1" applyBorder="1" applyAlignment="1" applyProtection="1">
      <alignment horizontal="right"/>
    </xf>
    <xf numFmtId="169" fontId="3" fillId="3" borderId="16" xfId="0" applyNumberFormat="1" applyFont="1" applyFill="1" applyBorder="1" applyAlignment="1" applyProtection="1">
      <alignment horizontal="right"/>
    </xf>
    <xf numFmtId="164" fontId="3" fillId="3" borderId="17" xfId="0" applyFont="1" applyFill="1" applyBorder="1"/>
    <xf numFmtId="164" fontId="3" fillId="3" borderId="18" xfId="0" applyNumberFormat="1" applyFont="1" applyFill="1" applyBorder="1" applyAlignment="1" applyProtection="1">
      <alignment horizontal="left"/>
    </xf>
    <xf numFmtId="164" fontId="3" fillId="3" borderId="17" xfId="0" applyNumberFormat="1" applyFont="1" applyFill="1" applyBorder="1" applyAlignment="1" applyProtection="1">
      <alignment horizontal="left"/>
    </xf>
    <xf numFmtId="167" fontId="3" fillId="3" borderId="17" xfId="0" applyNumberFormat="1" applyFont="1" applyFill="1" applyBorder="1" applyAlignment="1" applyProtection="1">
      <alignment horizontal="right"/>
    </xf>
    <xf numFmtId="3" fontId="3" fillId="3" borderId="17" xfId="0" applyNumberFormat="1" applyFont="1" applyFill="1" applyBorder="1" applyAlignment="1" applyProtection="1">
      <alignment horizontal="right"/>
    </xf>
    <xf numFmtId="169" fontId="3" fillId="3" borderId="17" xfId="0" applyNumberFormat="1" applyFont="1" applyFill="1" applyBorder="1" applyAlignment="1" applyProtection="1">
      <alignment horizontal="right"/>
    </xf>
    <xf numFmtId="169" fontId="3" fillId="3" borderId="19" xfId="0" applyNumberFormat="1" applyFont="1" applyFill="1" applyBorder="1" applyAlignment="1" applyProtection="1">
      <alignment horizontal="right"/>
    </xf>
    <xf numFmtId="165" fontId="3" fillId="3" borderId="17" xfId="1" applyNumberFormat="1" applyFont="1" applyFill="1" applyBorder="1" applyAlignment="1" applyProtection="1">
      <alignment horizontal="right"/>
    </xf>
    <xf numFmtId="169" fontId="3" fillId="3" borderId="17" xfId="1" applyNumberFormat="1" applyFont="1" applyFill="1" applyBorder="1" applyAlignment="1" applyProtection="1">
      <alignment horizontal="right"/>
    </xf>
    <xf numFmtId="169" fontId="3" fillId="3" borderId="20" xfId="0" applyNumberFormat="1" applyFont="1" applyFill="1" applyBorder="1" applyAlignment="1" applyProtection="1">
      <alignment horizontal="right"/>
    </xf>
    <xf numFmtId="164" fontId="3" fillId="3" borderId="0" xfId="0" applyFont="1" applyFill="1" applyBorder="1"/>
    <xf numFmtId="164" fontId="4" fillId="3" borderId="18" xfId="0" applyNumberFormat="1" applyFont="1" applyFill="1" applyBorder="1" applyAlignment="1" applyProtection="1">
      <alignment horizontal="left"/>
    </xf>
    <xf numFmtId="167" fontId="3" fillId="3" borderId="21" xfId="0" applyNumberFormat="1" applyFont="1" applyFill="1" applyBorder="1" applyAlignment="1" applyProtection="1">
      <alignment horizontal="right"/>
    </xf>
    <xf numFmtId="3" fontId="3" fillId="3" borderId="21" xfId="0" applyNumberFormat="1" applyFont="1" applyFill="1" applyBorder="1" applyAlignment="1" applyProtection="1">
      <alignment horizontal="right"/>
    </xf>
    <xf numFmtId="169" fontId="3" fillId="3" borderId="21" xfId="0" applyNumberFormat="1" applyFont="1" applyFill="1" applyBorder="1" applyAlignment="1" applyProtection="1">
      <alignment horizontal="right"/>
    </xf>
    <xf numFmtId="165" fontId="3" fillId="3" borderId="21" xfId="1" applyNumberFormat="1" applyFont="1" applyFill="1" applyBorder="1" applyAlignment="1" applyProtection="1">
      <alignment horizontal="right"/>
    </xf>
    <xf numFmtId="169" fontId="3" fillId="3" borderId="21" xfId="1" applyNumberFormat="1" applyFont="1" applyFill="1" applyBorder="1" applyAlignment="1" applyProtection="1">
      <alignment horizontal="right"/>
    </xf>
    <xf numFmtId="167" fontId="3" fillId="3" borderId="0" xfId="0" applyNumberFormat="1" applyFont="1" applyFill="1" applyBorder="1" applyAlignment="1" applyProtection="1">
      <alignment horizontal="right"/>
    </xf>
    <xf numFmtId="3" fontId="3" fillId="3" borderId="0" xfId="0" applyNumberFormat="1" applyFont="1" applyFill="1" applyBorder="1" applyAlignment="1" applyProtection="1">
      <alignment horizontal="right"/>
    </xf>
    <xf numFmtId="169" fontId="3" fillId="3" borderId="0" xfId="0" applyNumberFormat="1" applyFont="1" applyFill="1" applyBorder="1" applyAlignment="1" applyProtection="1">
      <alignment horizontal="right"/>
    </xf>
    <xf numFmtId="165" fontId="3" fillId="3" borderId="0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 applyAlignment="1" applyProtection="1">
      <alignment horizontal="right"/>
    </xf>
    <xf numFmtId="0" fontId="3" fillId="0" borderId="0" xfId="0" applyNumberFormat="1" applyFont="1" applyBorder="1"/>
    <xf numFmtId="164" fontId="3" fillId="0" borderId="0" xfId="0" applyFont="1" applyBorder="1"/>
    <xf numFmtId="164" fontId="3" fillId="4" borderId="22" xfId="0" applyNumberFormat="1" applyFont="1" applyFill="1" applyBorder="1" applyAlignment="1" applyProtection="1">
      <alignment horizontal="left"/>
    </xf>
    <xf numFmtId="3" fontId="3" fillId="3" borderId="23" xfId="0" applyNumberFormat="1" applyFont="1" applyFill="1" applyBorder="1" applyAlignment="1" applyProtection="1">
      <alignment horizontal="right"/>
    </xf>
    <xf numFmtId="165" fontId="3" fillId="3" borderId="23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169" fontId="3" fillId="3" borderId="24" xfId="0" applyNumberFormat="1" applyFont="1" applyFill="1" applyBorder="1" applyAlignment="1" applyProtection="1">
      <alignment horizontal="right"/>
    </xf>
    <xf numFmtId="165" fontId="3" fillId="3" borderId="17" xfId="1" applyNumberFormat="1" applyFont="1" applyFill="1" applyBorder="1" applyAlignment="1">
      <alignment horizontal="right"/>
    </xf>
    <xf numFmtId="167" fontId="3" fillId="3" borderId="6" xfId="0" applyNumberFormat="1" applyFont="1" applyFill="1" applyBorder="1" applyAlignment="1" applyProtection="1">
      <alignment horizontal="right"/>
    </xf>
    <xf numFmtId="3" fontId="3" fillId="3" borderId="6" xfId="0" applyNumberFormat="1" applyFont="1" applyFill="1" applyBorder="1" applyAlignment="1" applyProtection="1">
      <alignment horizontal="right"/>
    </xf>
    <xf numFmtId="169" fontId="3" fillId="3" borderId="6" xfId="0" applyNumberFormat="1" applyFont="1" applyFill="1" applyBorder="1" applyAlignment="1" applyProtection="1">
      <alignment horizontal="right"/>
    </xf>
    <xf numFmtId="169" fontId="3" fillId="3" borderId="25" xfId="0" applyNumberFormat="1" applyFont="1" applyFill="1" applyBorder="1" applyAlignment="1" applyProtection="1">
      <alignment horizontal="right"/>
    </xf>
    <xf numFmtId="165" fontId="3" fillId="3" borderId="6" xfId="1" applyNumberFormat="1" applyFont="1" applyFill="1" applyBorder="1" applyAlignment="1">
      <alignment horizontal="right"/>
    </xf>
    <xf numFmtId="165" fontId="3" fillId="3" borderId="6" xfId="1" applyNumberFormat="1" applyFont="1" applyFill="1" applyBorder="1" applyAlignment="1" applyProtection="1">
      <alignment horizontal="right"/>
    </xf>
    <xf numFmtId="169" fontId="3" fillId="3" borderId="6" xfId="1" applyNumberFormat="1" applyFont="1" applyFill="1" applyBorder="1" applyAlignment="1" applyProtection="1">
      <alignment horizontal="right"/>
    </xf>
    <xf numFmtId="169" fontId="3" fillId="3" borderId="26" xfId="0" applyNumberFormat="1" applyFont="1" applyFill="1" applyBorder="1" applyAlignment="1" applyProtection="1">
      <alignment horizontal="right"/>
    </xf>
    <xf numFmtId="164" fontId="3" fillId="3" borderId="27" xfId="0" applyFont="1" applyFill="1" applyBorder="1"/>
    <xf numFmtId="164" fontId="3" fillId="3" borderId="28" xfId="0" applyNumberFormat="1" applyFont="1" applyFill="1" applyBorder="1" applyAlignment="1" applyProtection="1">
      <alignment horizontal="left"/>
    </xf>
    <xf numFmtId="167" fontId="3" fillId="3" borderId="29" xfId="0" applyNumberFormat="1" applyFont="1" applyFill="1" applyBorder="1" applyAlignment="1" applyProtection="1">
      <alignment horizontal="right"/>
    </xf>
    <xf numFmtId="3" fontId="3" fillId="3" borderId="29" xfId="0" applyNumberFormat="1" applyFont="1" applyFill="1" applyBorder="1" applyAlignment="1" applyProtection="1">
      <alignment horizontal="right"/>
    </xf>
    <xf numFmtId="169" fontId="3" fillId="3" borderId="29" xfId="0" applyNumberFormat="1" applyFont="1" applyFill="1" applyBorder="1" applyAlignment="1" applyProtection="1">
      <alignment horizontal="right"/>
    </xf>
    <xf numFmtId="169" fontId="3" fillId="3" borderId="30" xfId="0" applyNumberFormat="1" applyFont="1" applyFill="1" applyBorder="1" applyAlignment="1" applyProtection="1">
      <alignment horizontal="right"/>
    </xf>
    <xf numFmtId="165" fontId="3" fillId="3" borderId="31" xfId="1" applyNumberFormat="1" applyFont="1" applyFill="1" applyBorder="1" applyAlignment="1">
      <alignment horizontal="right"/>
    </xf>
    <xf numFmtId="165" fontId="3" fillId="3" borderId="32" xfId="1" applyNumberFormat="1" applyFont="1" applyFill="1" applyBorder="1" applyAlignment="1" applyProtection="1">
      <alignment horizontal="right"/>
    </xf>
    <xf numFmtId="169" fontId="3" fillId="3" borderId="32" xfId="1" applyNumberFormat="1" applyFont="1" applyFill="1" applyBorder="1" applyAlignment="1" applyProtection="1">
      <alignment horizontal="right"/>
    </xf>
    <xf numFmtId="169" fontId="3" fillId="3" borderId="32" xfId="0" applyNumberFormat="1" applyFont="1" applyFill="1" applyBorder="1" applyAlignment="1" applyProtection="1">
      <alignment horizontal="right"/>
    </xf>
    <xf numFmtId="167" fontId="3" fillId="3" borderId="33" xfId="0" applyNumberFormat="1" applyFont="1" applyFill="1" applyBorder="1" applyAlignment="1" applyProtection="1">
      <alignment horizontal="right"/>
    </xf>
    <xf numFmtId="3" fontId="3" fillId="3" borderId="33" xfId="0" applyNumberFormat="1" applyFont="1" applyFill="1" applyBorder="1" applyAlignment="1" applyProtection="1">
      <alignment horizontal="right"/>
    </xf>
    <xf numFmtId="169" fontId="3" fillId="3" borderId="33" xfId="0" applyNumberFormat="1" applyFont="1" applyFill="1" applyBorder="1" applyAlignment="1" applyProtection="1">
      <alignment horizontal="right"/>
    </xf>
    <xf numFmtId="169" fontId="3" fillId="3" borderId="34" xfId="0" applyNumberFormat="1" applyFont="1" applyFill="1" applyBorder="1" applyAlignment="1" applyProtection="1">
      <alignment horizontal="right"/>
    </xf>
    <xf numFmtId="165" fontId="3" fillId="3" borderId="35" xfId="1" applyNumberFormat="1" applyFont="1" applyFill="1" applyBorder="1" applyAlignment="1">
      <alignment horizontal="right"/>
    </xf>
    <xf numFmtId="165" fontId="3" fillId="3" borderId="36" xfId="1" applyNumberFormat="1" applyFont="1" applyFill="1" applyBorder="1" applyAlignment="1" applyProtection="1">
      <alignment horizontal="right"/>
    </xf>
    <xf numFmtId="169" fontId="3" fillId="3" borderId="36" xfId="1" applyNumberFormat="1" applyFont="1" applyFill="1" applyBorder="1" applyAlignment="1" applyProtection="1">
      <alignment horizontal="right"/>
    </xf>
    <xf numFmtId="169" fontId="3" fillId="3" borderId="36" xfId="0" applyNumberFormat="1" applyFont="1" applyFill="1" applyBorder="1" applyAlignment="1" applyProtection="1">
      <alignment horizontal="right"/>
    </xf>
    <xf numFmtId="169" fontId="3" fillId="3" borderId="37" xfId="0" applyNumberFormat="1" applyFont="1" applyFill="1" applyBorder="1" applyAlignment="1" applyProtection="1">
      <alignment horizontal="right"/>
    </xf>
    <xf numFmtId="164" fontId="3" fillId="3" borderId="38" xfId="0" applyNumberFormat="1" applyFont="1" applyFill="1" applyBorder="1" applyAlignment="1" applyProtection="1">
      <alignment horizontal="left"/>
    </xf>
    <xf numFmtId="169" fontId="3" fillId="3" borderId="39" xfId="0" applyNumberFormat="1" applyFont="1" applyFill="1" applyBorder="1" applyAlignment="1" applyProtection="1">
      <alignment horizontal="right"/>
    </xf>
    <xf numFmtId="165" fontId="3" fillId="3" borderId="14" xfId="0" applyNumberFormat="1" applyFont="1" applyFill="1" applyBorder="1" applyAlignment="1" applyProtection="1">
      <alignment horizontal="right"/>
    </xf>
    <xf numFmtId="164" fontId="3" fillId="3" borderId="40" xfId="0" applyNumberFormat="1" applyFont="1" applyFill="1" applyBorder="1" applyAlignment="1" applyProtection="1">
      <alignment horizontal="left"/>
    </xf>
    <xf numFmtId="167" fontId="3" fillId="3" borderId="41" xfId="0" applyNumberFormat="1" applyFont="1" applyFill="1" applyBorder="1" applyAlignment="1" applyProtection="1">
      <alignment horizontal="right"/>
    </xf>
    <xf numFmtId="167" fontId="3" fillId="3" borderId="40" xfId="0" applyNumberFormat="1" applyFont="1" applyFill="1" applyBorder="1" applyAlignment="1" applyProtection="1">
      <alignment horizontal="right"/>
    </xf>
    <xf numFmtId="3" fontId="3" fillId="3" borderId="40" xfId="0" applyNumberFormat="1" applyFont="1" applyFill="1" applyBorder="1" applyAlignment="1" applyProtection="1">
      <alignment horizontal="right"/>
    </xf>
    <xf numFmtId="169" fontId="3" fillId="3" borderId="42" xfId="1" applyNumberFormat="1" applyFont="1" applyFill="1" applyBorder="1" applyAlignment="1" applyProtection="1">
      <alignment horizontal="right"/>
    </xf>
    <xf numFmtId="169" fontId="3" fillId="3" borderId="43" xfId="1" applyNumberFormat="1" applyFont="1" applyFill="1" applyBorder="1" applyAlignment="1" applyProtection="1">
      <alignment horizontal="right"/>
    </xf>
    <xf numFmtId="164" fontId="3" fillId="3" borderId="44" xfId="0" applyFont="1" applyFill="1" applyBorder="1"/>
    <xf numFmtId="164" fontId="3" fillId="3" borderId="35" xfId="0" applyNumberFormat="1" applyFont="1" applyFill="1" applyBorder="1" applyAlignment="1" applyProtection="1">
      <alignment horizontal="left"/>
    </xf>
    <xf numFmtId="167" fontId="3" fillId="3" borderId="35" xfId="0" applyNumberFormat="1" applyFont="1" applyFill="1" applyBorder="1" applyAlignment="1" applyProtection="1">
      <alignment horizontal="right"/>
    </xf>
    <xf numFmtId="3" fontId="3" fillId="3" borderId="35" xfId="0" applyNumberFormat="1" applyFont="1" applyFill="1" applyBorder="1" applyAlignment="1" applyProtection="1">
      <alignment horizontal="right"/>
    </xf>
    <xf numFmtId="164" fontId="3" fillId="3" borderId="22" xfId="0" applyNumberFormat="1" applyFont="1" applyFill="1" applyBorder="1" applyAlignment="1" applyProtection="1">
      <alignment horizontal="left"/>
    </xf>
    <xf numFmtId="164" fontId="3" fillId="3" borderId="45" xfId="0" applyNumberFormat="1" applyFont="1" applyFill="1" applyBorder="1" applyAlignment="1" applyProtection="1">
      <alignment horizontal="left"/>
    </xf>
    <xf numFmtId="167" fontId="3" fillId="3" borderId="4" xfId="0" applyNumberFormat="1" applyFont="1" applyFill="1" applyBorder="1" applyAlignment="1" applyProtection="1">
      <alignment horizontal="right"/>
    </xf>
    <xf numFmtId="3" fontId="3" fillId="3" borderId="4" xfId="0" applyNumberFormat="1" applyFont="1" applyFill="1" applyBorder="1" applyAlignment="1" applyProtection="1">
      <alignment horizontal="right"/>
    </xf>
    <xf numFmtId="169" fontId="3" fillId="3" borderId="4" xfId="0" applyNumberFormat="1" applyFont="1" applyFill="1" applyBorder="1" applyAlignment="1" applyProtection="1">
      <alignment horizontal="right"/>
    </xf>
    <xf numFmtId="169" fontId="3" fillId="3" borderId="46" xfId="0" applyNumberFormat="1" applyFont="1" applyFill="1" applyBorder="1" applyAlignment="1" applyProtection="1">
      <alignment horizontal="right"/>
    </xf>
    <xf numFmtId="165" fontId="3" fillId="3" borderId="4" xfId="1" applyNumberFormat="1" applyFont="1" applyFill="1" applyBorder="1" applyAlignment="1">
      <alignment horizontal="right"/>
    </xf>
    <xf numFmtId="165" fontId="3" fillId="3" borderId="4" xfId="1" applyNumberFormat="1" applyFont="1" applyFill="1" applyBorder="1" applyAlignment="1" applyProtection="1">
      <alignment horizontal="right"/>
    </xf>
    <xf numFmtId="169" fontId="3" fillId="3" borderId="4" xfId="1" applyNumberFormat="1" applyFont="1" applyFill="1" applyBorder="1" applyAlignment="1" applyProtection="1">
      <alignment horizontal="right"/>
    </xf>
    <xf numFmtId="169" fontId="3" fillId="3" borderId="47" xfId="0" applyNumberFormat="1" applyFont="1" applyFill="1" applyBorder="1" applyAlignment="1" applyProtection="1">
      <alignment horizontal="right"/>
    </xf>
    <xf numFmtId="164" fontId="3" fillId="3" borderId="3" xfId="0" applyFont="1" applyFill="1" applyBorder="1"/>
    <xf numFmtId="164" fontId="3" fillId="3" borderId="48" xfId="0" applyNumberFormat="1" applyFont="1" applyFill="1" applyBorder="1" applyAlignment="1" applyProtection="1">
      <alignment horizontal="left"/>
    </xf>
    <xf numFmtId="167" fontId="3" fillId="3" borderId="49" xfId="0" applyNumberFormat="1" applyFont="1" applyFill="1" applyBorder="1" applyAlignment="1" applyProtection="1">
      <alignment horizontal="right"/>
    </xf>
    <xf numFmtId="167" fontId="3" fillId="3" borderId="2" xfId="0" applyNumberFormat="1" applyFont="1" applyFill="1" applyBorder="1" applyAlignment="1" applyProtection="1">
      <alignment horizontal="right"/>
    </xf>
    <xf numFmtId="3" fontId="3" fillId="3" borderId="2" xfId="0" applyNumberFormat="1" applyFont="1" applyFill="1" applyBorder="1" applyAlignment="1" applyProtection="1">
      <alignment horizontal="right"/>
    </xf>
    <xf numFmtId="169" fontId="3" fillId="3" borderId="2" xfId="0" applyNumberFormat="1" applyFont="1" applyFill="1" applyBorder="1" applyAlignment="1" applyProtection="1">
      <alignment horizontal="right"/>
    </xf>
    <xf numFmtId="169" fontId="3" fillId="3" borderId="50" xfId="0" applyNumberFormat="1" applyFont="1" applyFill="1" applyBorder="1" applyAlignment="1" applyProtection="1">
      <alignment horizontal="right"/>
    </xf>
    <xf numFmtId="165" fontId="3" fillId="3" borderId="2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 applyProtection="1">
      <alignment horizontal="right"/>
    </xf>
    <xf numFmtId="169" fontId="3" fillId="3" borderId="2" xfId="1" applyNumberFormat="1" applyFont="1" applyFill="1" applyBorder="1" applyAlignment="1" applyProtection="1">
      <alignment horizontal="right"/>
    </xf>
    <xf numFmtId="164" fontId="3" fillId="3" borderId="22" xfId="0" applyFont="1" applyFill="1" applyBorder="1"/>
    <xf numFmtId="164" fontId="3" fillId="3" borderId="51" xfId="0" applyNumberFormat="1" applyFont="1" applyFill="1" applyBorder="1" applyAlignment="1" applyProtection="1">
      <alignment horizontal="left"/>
    </xf>
    <xf numFmtId="169" fontId="3" fillId="3" borderId="52" xfId="1" applyNumberFormat="1" applyFont="1" applyFill="1" applyBorder="1" applyAlignment="1" applyProtection="1">
      <alignment horizontal="right"/>
    </xf>
    <xf numFmtId="169" fontId="3" fillId="3" borderId="7" xfId="1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left"/>
    </xf>
    <xf numFmtId="167" fontId="3" fillId="3" borderId="53" xfId="0" applyNumberFormat="1" applyFont="1" applyFill="1" applyBorder="1" applyAlignment="1" applyProtection="1">
      <alignment horizontal="right"/>
    </xf>
    <xf numFmtId="167" fontId="3" fillId="3" borderId="54" xfId="0" applyNumberFormat="1" applyFont="1" applyFill="1" applyBorder="1" applyAlignment="1" applyProtection="1">
      <alignment horizontal="right"/>
    </xf>
    <xf numFmtId="3" fontId="3" fillId="3" borderId="54" xfId="0" applyNumberFormat="1" applyFont="1" applyFill="1" applyBorder="1" applyAlignment="1" applyProtection="1">
      <alignment horizontal="right"/>
    </xf>
    <xf numFmtId="169" fontId="3" fillId="3" borderId="35" xfId="0" applyNumberFormat="1" applyFont="1" applyFill="1" applyBorder="1" applyAlignment="1" applyProtection="1">
      <alignment horizontal="right"/>
    </xf>
    <xf numFmtId="169" fontId="3" fillId="3" borderId="55" xfId="0" applyNumberFormat="1" applyFont="1" applyFill="1" applyBorder="1" applyAlignment="1" applyProtection="1">
      <alignment horizontal="right"/>
    </xf>
    <xf numFmtId="165" fontId="3" fillId="3" borderId="35" xfId="1" applyNumberFormat="1" applyFont="1" applyFill="1" applyBorder="1" applyAlignment="1" applyProtection="1">
      <alignment horizontal="right"/>
    </xf>
    <xf numFmtId="169" fontId="3" fillId="3" borderId="35" xfId="1" applyNumberFormat="1" applyFont="1" applyFill="1" applyBorder="1" applyAlignment="1" applyProtection="1">
      <alignment horizontal="right"/>
    </xf>
    <xf numFmtId="164" fontId="3" fillId="3" borderId="47" xfId="0" applyNumberFormat="1" applyFont="1" applyFill="1" applyBorder="1" applyAlignment="1" applyProtection="1">
      <alignment horizontal="left"/>
    </xf>
    <xf numFmtId="167" fontId="3" fillId="3" borderId="56" xfId="0" applyNumberFormat="1" applyFont="1" applyFill="1" applyBorder="1" applyAlignment="1" applyProtection="1">
      <alignment horizontal="right"/>
    </xf>
    <xf numFmtId="167" fontId="3" fillId="3" borderId="47" xfId="0" applyNumberFormat="1" applyFont="1" applyFill="1" applyBorder="1" applyAlignment="1" applyProtection="1">
      <alignment horizontal="right"/>
    </xf>
    <xf numFmtId="3" fontId="3" fillId="3" borderId="47" xfId="0" applyNumberFormat="1" applyFont="1" applyFill="1" applyBorder="1" applyAlignment="1" applyProtection="1">
      <alignment horizontal="right"/>
    </xf>
    <xf numFmtId="165" fontId="3" fillId="3" borderId="47" xfId="1" applyNumberFormat="1" applyFont="1" applyFill="1" applyBorder="1" applyAlignment="1">
      <alignment horizontal="right"/>
    </xf>
    <xf numFmtId="165" fontId="3" fillId="3" borderId="47" xfId="1" applyNumberFormat="1" applyFont="1" applyFill="1" applyBorder="1" applyAlignment="1" applyProtection="1">
      <alignment horizontal="right"/>
    </xf>
    <xf numFmtId="169" fontId="3" fillId="3" borderId="47" xfId="1" applyNumberFormat="1" applyFont="1" applyFill="1" applyBorder="1" applyAlignment="1" applyProtection="1">
      <alignment horizontal="right"/>
    </xf>
    <xf numFmtId="164" fontId="3" fillId="3" borderId="20" xfId="0" applyNumberFormat="1" applyFont="1" applyFill="1" applyBorder="1" applyAlignment="1" applyProtection="1">
      <alignment horizontal="left"/>
    </xf>
    <xf numFmtId="167" fontId="3" fillId="3" borderId="20" xfId="0" applyNumberFormat="1" applyFont="1" applyFill="1" applyBorder="1" applyAlignment="1" applyProtection="1">
      <alignment horizontal="right"/>
    </xf>
    <xf numFmtId="3" fontId="3" fillId="3" borderId="20" xfId="0" applyNumberFormat="1" applyFont="1" applyFill="1" applyBorder="1" applyAlignment="1" applyProtection="1">
      <alignment horizontal="right"/>
    </xf>
    <xf numFmtId="165" fontId="3" fillId="3" borderId="20" xfId="1" applyNumberFormat="1" applyFont="1" applyFill="1" applyBorder="1" applyAlignment="1">
      <alignment horizontal="right"/>
    </xf>
    <xf numFmtId="165" fontId="3" fillId="3" borderId="20" xfId="0" applyNumberFormat="1" applyFont="1" applyFill="1" applyBorder="1" applyAlignment="1" applyProtection="1">
      <alignment horizontal="right"/>
    </xf>
    <xf numFmtId="164" fontId="3" fillId="3" borderId="4" xfId="0" applyNumberFormat="1" applyFont="1" applyFill="1" applyBorder="1" applyAlignment="1" applyProtection="1">
      <alignment horizontal="left"/>
    </xf>
    <xf numFmtId="165" fontId="3" fillId="3" borderId="20" xfId="1" applyNumberFormat="1" applyFont="1" applyFill="1" applyBorder="1" applyAlignment="1" applyProtection="1">
      <alignment horizontal="right"/>
    </xf>
    <xf numFmtId="169" fontId="3" fillId="3" borderId="20" xfId="1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left"/>
    </xf>
    <xf numFmtId="164" fontId="3" fillId="3" borderId="27" xfId="0" applyNumberFormat="1" applyFont="1" applyFill="1" applyBorder="1" applyAlignment="1" applyProtection="1">
      <alignment horizontal="left"/>
    </xf>
    <xf numFmtId="165" fontId="3" fillId="3" borderId="33" xfId="1" applyNumberFormat="1" applyFont="1" applyFill="1" applyBorder="1" applyAlignment="1" applyProtection="1">
      <alignment horizontal="right"/>
    </xf>
    <xf numFmtId="169" fontId="3" fillId="3" borderId="57" xfId="0" applyNumberFormat="1" applyFont="1" applyFill="1" applyBorder="1" applyAlignment="1" applyProtection="1">
      <alignment horizontal="right"/>
    </xf>
    <xf numFmtId="164" fontId="3" fillId="3" borderId="54" xfId="0" applyNumberFormat="1" applyFont="1" applyFill="1" applyBorder="1" applyAlignment="1" applyProtection="1">
      <alignment horizontal="left"/>
    </xf>
    <xf numFmtId="167" fontId="3" fillId="3" borderId="58" xfId="0" applyNumberFormat="1" applyFont="1" applyFill="1" applyBorder="1" applyAlignment="1" applyProtection="1">
      <alignment horizontal="right"/>
    </xf>
    <xf numFmtId="169" fontId="3" fillId="3" borderId="58" xfId="0" applyNumberFormat="1" applyFont="1" applyFill="1" applyBorder="1" applyAlignment="1" applyProtection="1">
      <alignment horizontal="right"/>
    </xf>
    <xf numFmtId="169" fontId="3" fillId="3" borderId="54" xfId="0" applyNumberFormat="1" applyFont="1" applyFill="1" applyBorder="1" applyAlignment="1" applyProtection="1">
      <alignment horizontal="right"/>
    </xf>
    <xf numFmtId="169" fontId="3" fillId="3" borderId="59" xfId="0" applyNumberFormat="1" applyFont="1" applyFill="1" applyBorder="1" applyAlignment="1" applyProtection="1">
      <alignment horizontal="right"/>
    </xf>
    <xf numFmtId="165" fontId="3" fillId="3" borderId="58" xfId="1" applyNumberFormat="1" applyFont="1" applyFill="1" applyBorder="1" applyAlignment="1" applyProtection="1">
      <alignment horizontal="right"/>
    </xf>
    <xf numFmtId="169" fontId="3" fillId="3" borderId="60" xfId="1" applyNumberFormat="1" applyFont="1" applyFill="1" applyBorder="1" applyAlignment="1" applyProtection="1">
      <alignment horizontal="right"/>
    </xf>
    <xf numFmtId="169" fontId="3" fillId="3" borderId="61" xfId="0" applyNumberFormat="1" applyFont="1" applyFill="1" applyBorder="1" applyAlignment="1" applyProtection="1">
      <alignment horizontal="right"/>
    </xf>
    <xf numFmtId="164" fontId="3" fillId="0" borderId="62" xfId="0" applyFont="1" applyBorder="1"/>
    <xf numFmtId="164" fontId="3" fillId="3" borderId="62" xfId="0" applyFont="1" applyFill="1" applyBorder="1"/>
    <xf numFmtId="164" fontId="3" fillId="4" borderId="63" xfId="0" quotePrefix="1" applyNumberFormat="1" applyFont="1" applyFill="1" applyBorder="1" applyAlignment="1" applyProtection="1">
      <alignment horizontal="left"/>
    </xf>
    <xf numFmtId="167" fontId="3" fillId="4" borderId="63" xfId="0" applyNumberFormat="1" applyFont="1" applyFill="1" applyBorder="1" applyAlignment="1" applyProtection="1">
      <alignment horizontal="right"/>
    </xf>
    <xf numFmtId="3" fontId="3" fillId="4" borderId="63" xfId="0" applyNumberFormat="1" applyFont="1" applyFill="1" applyBorder="1" applyAlignment="1" applyProtection="1">
      <alignment horizontal="right"/>
    </xf>
    <xf numFmtId="169" fontId="3" fillId="4" borderId="63" xfId="0" applyNumberFormat="1" applyFont="1" applyFill="1" applyBorder="1" applyAlignment="1" applyProtection="1">
      <alignment horizontal="right"/>
    </xf>
    <xf numFmtId="169" fontId="3" fillId="4" borderId="64" xfId="0" applyNumberFormat="1" applyFont="1" applyFill="1" applyBorder="1" applyAlignment="1" applyProtection="1">
      <alignment horizontal="right"/>
    </xf>
    <xf numFmtId="165" fontId="3" fillId="4" borderId="63" xfId="1" applyNumberFormat="1" applyFont="1" applyFill="1" applyBorder="1" applyAlignment="1">
      <alignment horizontal="right"/>
    </xf>
    <xf numFmtId="165" fontId="3" fillId="4" borderId="63" xfId="1" applyNumberFormat="1" applyFont="1" applyFill="1" applyBorder="1" applyAlignment="1" applyProtection="1">
      <alignment horizontal="right"/>
    </xf>
    <xf numFmtId="169" fontId="3" fillId="4" borderId="63" xfId="1" applyNumberFormat="1" applyFont="1" applyFill="1" applyBorder="1" applyAlignment="1" applyProtection="1">
      <alignment horizontal="right"/>
    </xf>
    <xf numFmtId="169" fontId="3" fillId="4" borderId="65" xfId="0" applyNumberFormat="1" applyFont="1" applyFill="1" applyBorder="1" applyAlignment="1" applyProtection="1">
      <alignment horizontal="right"/>
    </xf>
    <xf numFmtId="165" fontId="3" fillId="3" borderId="66" xfId="1" applyNumberFormat="1" applyFont="1" applyFill="1" applyBorder="1" applyAlignment="1">
      <alignment horizontal="right"/>
    </xf>
    <xf numFmtId="165" fontId="3" fillId="3" borderId="29" xfId="1" applyNumberFormat="1" applyFont="1" applyFill="1" applyBorder="1" applyAlignment="1" applyProtection="1">
      <alignment horizontal="right"/>
    </xf>
    <xf numFmtId="169" fontId="3" fillId="3" borderId="67" xfId="1" applyNumberFormat="1" applyFont="1" applyFill="1" applyBorder="1" applyAlignment="1" applyProtection="1">
      <alignment horizontal="right"/>
    </xf>
    <xf numFmtId="169" fontId="3" fillId="3" borderId="68" xfId="0" applyNumberFormat="1" applyFont="1" applyFill="1" applyBorder="1" applyAlignment="1" applyProtection="1">
      <alignment horizontal="right"/>
    </xf>
    <xf numFmtId="165" fontId="3" fillId="3" borderId="48" xfId="1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 applyProtection="1">
      <alignment horizontal="left"/>
    </xf>
    <xf numFmtId="164" fontId="3" fillId="3" borderId="66" xfId="0" applyNumberFormat="1" applyFont="1" applyFill="1" applyBorder="1" applyAlignment="1" applyProtection="1">
      <alignment horizontal="left"/>
    </xf>
    <xf numFmtId="164" fontId="3" fillId="3" borderId="51" xfId="0" applyFont="1" applyFill="1" applyBorder="1"/>
    <xf numFmtId="164" fontId="3" fillId="3" borderId="69" xfId="0" applyNumberFormat="1" applyFont="1" applyFill="1" applyBorder="1" applyAlignment="1" applyProtection="1">
      <alignment horizontal="left"/>
    </xf>
    <xf numFmtId="167" fontId="3" fillId="3" borderId="70" xfId="0" applyNumberFormat="1" applyFont="1" applyFill="1" applyBorder="1" applyAlignment="1" applyProtection="1">
      <alignment horizontal="right"/>
    </xf>
    <xf numFmtId="3" fontId="3" fillId="3" borderId="70" xfId="0" applyNumberFormat="1" applyFont="1" applyFill="1" applyBorder="1" applyAlignment="1" applyProtection="1">
      <alignment horizontal="right"/>
    </xf>
    <xf numFmtId="169" fontId="3" fillId="3" borderId="70" xfId="0" applyNumberFormat="1" applyFont="1" applyFill="1" applyBorder="1" applyAlignment="1" applyProtection="1">
      <alignment horizontal="right"/>
    </xf>
    <xf numFmtId="169" fontId="3" fillId="3" borderId="71" xfId="0" applyNumberFormat="1" applyFont="1" applyFill="1" applyBorder="1" applyAlignment="1" applyProtection="1">
      <alignment horizontal="right"/>
    </xf>
    <xf numFmtId="165" fontId="3" fillId="3" borderId="51" xfId="1" applyNumberFormat="1" applyFont="1" applyFill="1" applyBorder="1" applyAlignment="1">
      <alignment horizontal="right"/>
    </xf>
    <xf numFmtId="165" fontId="3" fillId="3" borderId="70" xfId="1" applyNumberFormat="1" applyFont="1" applyFill="1" applyBorder="1" applyAlignment="1" applyProtection="1">
      <alignment horizontal="right"/>
    </xf>
    <xf numFmtId="169" fontId="3" fillId="3" borderId="72" xfId="1" applyNumberFormat="1" applyFont="1" applyFill="1" applyBorder="1" applyAlignment="1" applyProtection="1">
      <alignment horizontal="right"/>
    </xf>
    <xf numFmtId="164" fontId="3" fillId="3" borderId="4" xfId="0" applyFont="1" applyFill="1" applyBorder="1"/>
    <xf numFmtId="164" fontId="3" fillId="3" borderId="73" xfId="0" applyNumberFormat="1" applyFont="1" applyFill="1" applyBorder="1" applyAlignment="1" applyProtection="1">
      <alignment horizontal="left"/>
    </xf>
    <xf numFmtId="167" fontId="3" fillId="3" borderId="74" xfId="0" applyNumberFormat="1" applyFont="1" applyFill="1" applyBorder="1" applyAlignment="1" applyProtection="1">
      <alignment horizontal="right"/>
    </xf>
    <xf numFmtId="3" fontId="3" fillId="3" borderId="74" xfId="0" applyNumberFormat="1" applyFont="1" applyFill="1" applyBorder="1" applyAlignment="1" applyProtection="1">
      <alignment horizontal="right"/>
    </xf>
    <xf numFmtId="169" fontId="3" fillId="3" borderId="74" xfId="0" applyNumberFormat="1" applyFont="1" applyFill="1" applyBorder="1" applyAlignment="1" applyProtection="1">
      <alignment horizontal="right"/>
    </xf>
    <xf numFmtId="169" fontId="3" fillId="3" borderId="75" xfId="0" applyNumberFormat="1" applyFont="1" applyFill="1" applyBorder="1" applyAlignment="1" applyProtection="1">
      <alignment horizontal="right"/>
    </xf>
    <xf numFmtId="165" fontId="3" fillId="3" borderId="73" xfId="1" applyNumberFormat="1" applyFont="1" applyFill="1" applyBorder="1" applyAlignment="1">
      <alignment horizontal="right"/>
    </xf>
    <xf numFmtId="165" fontId="3" fillId="3" borderId="74" xfId="1" applyNumberFormat="1" applyFont="1" applyFill="1" applyBorder="1" applyAlignment="1" applyProtection="1">
      <alignment horizontal="right"/>
    </xf>
    <xf numFmtId="169" fontId="3" fillId="3" borderId="76" xfId="1" applyNumberFormat="1" applyFont="1" applyFill="1" applyBorder="1" applyAlignment="1" applyProtection="1">
      <alignment horizontal="right"/>
    </xf>
    <xf numFmtId="169" fontId="3" fillId="3" borderId="77" xfId="0" applyNumberFormat="1" applyFont="1" applyFill="1" applyBorder="1" applyAlignment="1" applyProtection="1">
      <alignment horizontal="right"/>
    </xf>
    <xf numFmtId="164" fontId="3" fillId="3" borderId="1" xfId="0" applyFont="1" applyFill="1" applyBorder="1"/>
    <xf numFmtId="4" fontId="3" fillId="3" borderId="14" xfId="0" applyNumberFormat="1" applyFont="1" applyFill="1" applyBorder="1" applyAlignment="1" applyProtection="1">
      <alignment horizontal="right"/>
    </xf>
    <xf numFmtId="164" fontId="3" fillId="3" borderId="49" xfId="0" applyFont="1" applyFill="1" applyBorder="1"/>
    <xf numFmtId="164" fontId="3" fillId="3" borderId="56" xfId="0" applyFont="1" applyFill="1" applyBorder="1"/>
    <xf numFmtId="169" fontId="3" fillId="3" borderId="78" xfId="0" applyNumberFormat="1" applyFont="1" applyFill="1" applyBorder="1" applyAlignment="1" applyProtection="1">
      <alignment horizontal="right"/>
    </xf>
    <xf numFmtId="164" fontId="3" fillId="3" borderId="1" xfId="0" applyNumberFormat="1" applyFont="1" applyFill="1" applyBorder="1" applyAlignment="1" applyProtection="1">
      <alignment horizontal="left"/>
    </xf>
    <xf numFmtId="164" fontId="3" fillId="3" borderId="79" xfId="0" applyNumberFormat="1" applyFont="1" applyFill="1" applyBorder="1" applyAlignment="1" applyProtection="1">
      <alignment horizontal="left"/>
    </xf>
    <xf numFmtId="4" fontId="3" fillId="3" borderId="17" xfId="0" applyNumberFormat="1" applyFont="1" applyFill="1" applyBorder="1" applyAlignment="1" applyProtection="1">
      <alignment horizontal="right"/>
    </xf>
    <xf numFmtId="165" fontId="3" fillId="3" borderId="17" xfId="0" applyNumberFormat="1" applyFont="1" applyFill="1" applyBorder="1" applyAlignment="1" applyProtection="1">
      <alignment horizontal="right"/>
    </xf>
    <xf numFmtId="169" fontId="3" fillId="3" borderId="13" xfId="0" applyNumberFormat="1" applyFont="1" applyFill="1" applyBorder="1" applyAlignment="1" applyProtection="1">
      <alignment horizontal="right"/>
    </xf>
    <xf numFmtId="164" fontId="4" fillId="3" borderId="12" xfId="0" applyNumberFormat="1" applyFont="1" applyFill="1" applyBorder="1" applyAlignment="1" applyProtection="1">
      <alignment horizontal="left"/>
    </xf>
    <xf numFmtId="164" fontId="4" fillId="3" borderId="13" xfId="0" applyNumberFormat="1" applyFont="1" applyFill="1" applyBorder="1" applyAlignment="1" applyProtection="1">
      <alignment horizontal="left"/>
    </xf>
    <xf numFmtId="167" fontId="4" fillId="3" borderId="14" xfId="0" applyNumberFormat="1" applyFont="1" applyFill="1" applyBorder="1" applyAlignment="1" applyProtection="1">
      <alignment horizontal="right"/>
    </xf>
    <xf numFmtId="16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169" fontId="3" fillId="3" borderId="0" xfId="0" applyNumberFormat="1" applyFont="1" applyFill="1" applyBorder="1" applyProtection="1"/>
    <xf numFmtId="165" fontId="3" fillId="3" borderId="0" xfId="1" applyNumberFormat="1" applyFont="1" applyFill="1" applyBorder="1" applyProtection="1"/>
    <xf numFmtId="169" fontId="3" fillId="3" borderId="0" xfId="1" applyNumberFormat="1" applyFont="1" applyFill="1" applyBorder="1" applyProtection="1"/>
    <xf numFmtId="167" fontId="3" fillId="3" borderId="17" xfId="0" applyNumberFormat="1" applyFont="1" applyFill="1" applyBorder="1" applyAlignment="1" applyProtection="1">
      <alignment horizontal="center"/>
    </xf>
    <xf numFmtId="3" fontId="3" fillId="3" borderId="17" xfId="0" applyNumberFormat="1" applyFont="1" applyFill="1" applyBorder="1" applyAlignment="1" applyProtection="1">
      <alignment horizontal="center"/>
    </xf>
    <xf numFmtId="169" fontId="3" fillId="3" borderId="17" xfId="0" applyNumberFormat="1" applyFont="1" applyFill="1" applyBorder="1" applyAlignment="1" applyProtection="1">
      <alignment horizontal="center"/>
    </xf>
    <xf numFmtId="169" fontId="3" fillId="3" borderId="17" xfId="0" applyNumberFormat="1" applyFont="1" applyFill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3" borderId="17" xfId="1" applyNumberFormat="1" applyFont="1" applyFill="1" applyBorder="1" applyAlignment="1" applyProtection="1">
      <alignment horizontal="center"/>
    </xf>
    <xf numFmtId="169" fontId="3" fillId="3" borderId="17" xfId="1" applyNumberFormat="1" applyFont="1" applyFill="1" applyBorder="1" applyAlignment="1" applyProtection="1">
      <alignment horizontal="center"/>
    </xf>
    <xf numFmtId="169" fontId="3" fillId="3" borderId="20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/>
    <xf numFmtId="164" fontId="3" fillId="0" borderId="1" xfId="0" applyFont="1" applyBorder="1"/>
    <xf numFmtId="167" fontId="3" fillId="3" borderId="4" xfId="0" applyNumberFormat="1" applyFont="1" applyFill="1" applyBorder="1" applyAlignment="1" applyProtection="1">
      <alignment horizontal="center"/>
    </xf>
    <xf numFmtId="3" fontId="3" fillId="3" borderId="4" xfId="0" applyNumberFormat="1" applyFont="1" applyFill="1" applyBorder="1" applyAlignment="1" applyProtection="1">
      <alignment horizontal="center"/>
    </xf>
    <xf numFmtId="169" fontId="3" fillId="3" borderId="4" xfId="0" applyNumberFormat="1" applyFont="1" applyFill="1" applyBorder="1" applyAlignment="1">
      <alignment horizontal="center"/>
    </xf>
    <xf numFmtId="169" fontId="3" fillId="3" borderId="80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169" fontId="3" fillId="3" borderId="4" xfId="1" applyNumberFormat="1" applyFont="1" applyFill="1" applyBorder="1" applyAlignment="1" applyProtection="1">
      <alignment horizontal="center"/>
    </xf>
    <xf numFmtId="169" fontId="3" fillId="3" borderId="47" xfId="0" applyNumberFormat="1" applyFont="1" applyFill="1" applyBorder="1" applyAlignment="1" applyProtection="1">
      <alignment horizontal="center"/>
    </xf>
    <xf numFmtId="169" fontId="3" fillId="3" borderId="35" xfId="0" applyNumberFormat="1" applyFont="1" applyFill="1" applyBorder="1" applyAlignment="1">
      <alignment horizontal="right"/>
    </xf>
    <xf numFmtId="169" fontId="3" fillId="3" borderId="81" xfId="0" applyNumberFormat="1" applyFont="1" applyFill="1" applyBorder="1" applyAlignment="1" applyProtection="1">
      <alignment horizontal="right"/>
    </xf>
    <xf numFmtId="165" fontId="3" fillId="0" borderId="35" xfId="0" applyNumberFormat="1" applyFont="1" applyBorder="1" applyAlignment="1">
      <alignment horizontal="right"/>
    </xf>
    <xf numFmtId="169" fontId="3" fillId="3" borderId="54" xfId="0" applyNumberFormat="1" applyFont="1" applyFill="1" applyBorder="1" applyAlignment="1">
      <alignment horizontal="right"/>
    </xf>
    <xf numFmtId="169" fontId="3" fillId="3" borderId="82" xfId="0" applyNumberFormat="1" applyFont="1" applyFill="1" applyBorder="1" applyAlignment="1" applyProtection="1">
      <alignment horizontal="right"/>
    </xf>
    <xf numFmtId="165" fontId="3" fillId="3" borderId="83" xfId="1" applyNumberFormat="1" applyFont="1" applyFill="1" applyBorder="1" applyAlignment="1" applyProtection="1">
      <alignment horizontal="right"/>
    </xf>
    <xf numFmtId="169" fontId="3" fillId="3" borderId="84" xfId="1" applyNumberFormat="1" applyFont="1" applyFill="1" applyBorder="1" applyAlignment="1" applyProtection="1">
      <alignment horizontal="right"/>
    </xf>
    <xf numFmtId="165" fontId="3" fillId="3" borderId="84" xfId="1" applyNumberFormat="1" applyFont="1" applyFill="1" applyBorder="1" applyAlignment="1" applyProtection="1">
      <alignment horizontal="right"/>
    </xf>
    <xf numFmtId="169" fontId="3" fillId="3" borderId="54" xfId="1" applyNumberFormat="1" applyFont="1" applyFill="1" applyBorder="1" applyAlignment="1" applyProtection="1">
      <alignment horizontal="right"/>
    </xf>
    <xf numFmtId="169" fontId="3" fillId="3" borderId="53" xfId="0" applyNumberFormat="1" applyFont="1" applyFill="1" applyBorder="1" applyAlignment="1" applyProtection="1">
      <alignment horizontal="right"/>
    </xf>
    <xf numFmtId="164" fontId="3" fillId="3" borderId="44" xfId="0" applyNumberFormat="1" applyFont="1" applyFill="1" applyBorder="1" applyAlignment="1" applyProtection="1">
      <alignment horizontal="left"/>
    </xf>
    <xf numFmtId="4" fontId="3" fillId="3" borderId="20" xfId="0" applyNumberFormat="1" applyFont="1" applyFill="1" applyBorder="1" applyAlignment="1" applyProtection="1">
      <alignment horizontal="right"/>
    </xf>
    <xf numFmtId="167" fontId="3" fillId="3" borderId="35" xfId="0" applyNumberFormat="1" applyFont="1" applyFill="1" applyBorder="1" applyAlignment="1" applyProtection="1">
      <alignment horizontal="center"/>
    </xf>
    <xf numFmtId="3" fontId="3" fillId="3" borderId="35" xfId="0" applyNumberFormat="1" applyFont="1" applyFill="1" applyBorder="1" applyAlignment="1" applyProtection="1">
      <alignment horizontal="center"/>
    </xf>
    <xf numFmtId="169" fontId="3" fillId="3" borderId="35" xfId="0" applyNumberFormat="1" applyFont="1" applyFill="1" applyBorder="1" applyAlignment="1" applyProtection="1">
      <alignment horizontal="center"/>
    </xf>
    <xf numFmtId="169" fontId="3" fillId="3" borderId="35" xfId="0" applyNumberFormat="1" applyFont="1" applyFill="1" applyBorder="1" applyAlignment="1">
      <alignment horizontal="center"/>
    </xf>
    <xf numFmtId="169" fontId="3" fillId="3" borderId="81" xfId="0" applyNumberFormat="1" applyFont="1" applyFill="1" applyBorder="1" applyAlignment="1" applyProtection="1">
      <alignment horizontal="center"/>
    </xf>
    <xf numFmtId="165" fontId="3" fillId="0" borderId="35" xfId="0" applyNumberFormat="1" applyFont="1" applyBorder="1" applyAlignment="1">
      <alignment horizontal="center"/>
    </xf>
    <xf numFmtId="165" fontId="3" fillId="3" borderId="35" xfId="1" applyNumberFormat="1" applyFont="1" applyFill="1" applyBorder="1" applyAlignment="1" applyProtection="1">
      <alignment horizontal="center"/>
    </xf>
    <xf numFmtId="169" fontId="3" fillId="3" borderId="35" xfId="1" applyNumberFormat="1" applyFont="1" applyFill="1" applyBorder="1" applyAlignment="1" applyProtection="1">
      <alignment horizontal="center"/>
    </xf>
    <xf numFmtId="169" fontId="3" fillId="3" borderId="47" xfId="0" applyNumberFormat="1" applyFont="1" applyFill="1" applyBorder="1" applyAlignment="1">
      <alignment horizontal="right"/>
    </xf>
    <xf numFmtId="169" fontId="3" fillId="3" borderId="80" xfId="0" applyNumberFormat="1" applyFont="1" applyFill="1" applyBorder="1" applyAlignment="1" applyProtection="1">
      <alignment horizontal="right"/>
    </xf>
    <xf numFmtId="165" fontId="3" fillId="0" borderId="47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9" fontId="3" fillId="0" borderId="20" xfId="0" applyNumberFormat="1" applyFont="1" applyBorder="1" applyAlignment="1">
      <alignment horizontal="right"/>
    </xf>
    <xf numFmtId="169" fontId="3" fillId="3" borderId="20" xfId="0" applyNumberFormat="1" applyFont="1" applyFill="1" applyBorder="1" applyAlignment="1">
      <alignment horizontal="right"/>
    </xf>
    <xf numFmtId="167" fontId="3" fillId="4" borderId="63" xfId="0" applyNumberFormat="1" applyFont="1" applyFill="1" applyBorder="1" applyProtection="1"/>
    <xf numFmtId="3" fontId="3" fillId="4" borderId="63" xfId="0" applyNumberFormat="1" applyFont="1" applyFill="1" applyBorder="1" applyProtection="1"/>
    <xf numFmtId="169" fontId="3" fillId="4" borderId="63" xfId="0" applyNumberFormat="1" applyFont="1" applyFill="1" applyBorder="1" applyProtection="1"/>
    <xf numFmtId="169" fontId="3" fillId="4" borderId="85" xfId="0" applyNumberFormat="1" applyFont="1" applyFill="1" applyBorder="1" applyProtection="1"/>
    <xf numFmtId="165" fontId="3" fillId="4" borderId="63" xfId="1" applyNumberFormat="1" applyFont="1" applyFill="1" applyBorder="1"/>
    <xf numFmtId="165" fontId="3" fillId="4" borderId="63" xfId="1" applyNumberFormat="1" applyFont="1" applyFill="1" applyBorder="1" applyProtection="1"/>
    <xf numFmtId="169" fontId="3" fillId="4" borderId="63" xfId="1" applyNumberFormat="1" applyFont="1" applyFill="1" applyBorder="1" applyProtection="1"/>
    <xf numFmtId="169" fontId="3" fillId="4" borderId="65" xfId="0" applyNumberFormat="1" applyFont="1" applyFill="1" applyBorder="1" applyProtection="1"/>
    <xf numFmtId="164" fontId="3" fillId="3" borderId="86" xfId="0" applyNumberFormat="1" applyFont="1" applyFill="1" applyBorder="1" applyAlignment="1" applyProtection="1">
      <alignment horizontal="left"/>
    </xf>
    <xf numFmtId="167" fontId="3" fillId="3" borderId="43" xfId="0" applyNumberFormat="1" applyFont="1" applyFill="1" applyBorder="1" applyProtection="1"/>
    <xf numFmtId="3" fontId="3" fillId="3" borderId="43" xfId="0" applyNumberFormat="1" applyFont="1" applyFill="1" applyBorder="1" applyProtection="1"/>
    <xf numFmtId="169" fontId="3" fillId="3" borderId="43" xfId="0" applyNumberFormat="1" applyFont="1" applyFill="1" applyBorder="1"/>
    <xf numFmtId="169" fontId="3" fillId="3" borderId="87" xfId="0" applyNumberFormat="1" applyFont="1" applyFill="1" applyBorder="1"/>
    <xf numFmtId="165" fontId="3" fillId="3" borderId="86" xfId="1" applyNumberFormat="1" applyFont="1" applyFill="1" applyBorder="1"/>
    <xf numFmtId="169" fontId="3" fillId="3" borderId="33" xfId="0" applyNumberFormat="1" applyFont="1" applyFill="1" applyBorder="1" applyAlignment="1">
      <alignment horizontal="right"/>
    </xf>
    <xf numFmtId="169" fontId="3" fillId="3" borderId="88" xfId="0" applyNumberFormat="1" applyFont="1" applyFill="1" applyBorder="1" applyAlignment="1">
      <alignment horizontal="right"/>
    </xf>
    <xf numFmtId="169" fontId="3" fillId="3" borderId="74" xfId="1" applyNumberFormat="1" applyFont="1" applyFill="1" applyBorder="1" applyAlignment="1" applyProtection="1">
      <alignment horizontal="right"/>
    </xf>
    <xf numFmtId="167" fontId="3" fillId="3" borderId="89" xfId="0" applyNumberFormat="1" applyFont="1" applyFill="1" applyBorder="1" applyAlignment="1" applyProtection="1">
      <alignment horizontal="right"/>
    </xf>
    <xf numFmtId="4" fontId="3" fillId="3" borderId="13" xfId="0" applyNumberFormat="1" applyFont="1" applyFill="1" applyBorder="1" applyAlignment="1" applyProtection="1">
      <alignment horizontal="right"/>
    </xf>
    <xf numFmtId="167" fontId="3" fillId="3" borderId="33" xfId="0" applyNumberFormat="1" applyFont="1" applyFill="1" applyBorder="1" applyProtection="1"/>
    <xf numFmtId="3" fontId="3" fillId="3" borderId="33" xfId="0" applyNumberFormat="1" applyFont="1" applyFill="1" applyBorder="1" applyProtection="1"/>
    <xf numFmtId="169" fontId="3" fillId="3" borderId="33" xfId="0" applyNumberFormat="1" applyFont="1" applyFill="1" applyBorder="1" applyProtection="1"/>
    <xf numFmtId="169" fontId="3" fillId="3" borderId="33" xfId="0" applyNumberFormat="1" applyFont="1" applyFill="1" applyBorder="1"/>
    <xf numFmtId="169" fontId="3" fillId="3" borderId="88" xfId="0" applyNumberFormat="1" applyFont="1" applyFill="1" applyBorder="1"/>
    <xf numFmtId="165" fontId="3" fillId="3" borderId="48" xfId="1" applyNumberFormat="1" applyFont="1" applyFill="1" applyBorder="1"/>
    <xf numFmtId="165" fontId="3" fillId="3" borderId="33" xfId="1" applyNumberFormat="1" applyFont="1" applyFill="1" applyBorder="1" applyProtection="1"/>
    <xf numFmtId="169" fontId="3" fillId="3" borderId="10" xfId="1" applyNumberFormat="1" applyFont="1" applyFill="1" applyBorder="1" applyProtection="1"/>
    <xf numFmtId="164" fontId="3" fillId="3" borderId="83" xfId="0" applyNumberFormat="1" applyFont="1" applyFill="1" applyBorder="1" applyAlignment="1" applyProtection="1">
      <alignment horizontal="left"/>
    </xf>
    <xf numFmtId="3" fontId="3" fillId="3" borderId="58" xfId="0" applyNumberFormat="1" applyFont="1" applyFill="1" applyBorder="1" applyAlignment="1" applyProtection="1">
      <alignment horizontal="right"/>
    </xf>
    <xf numFmtId="169" fontId="3" fillId="3" borderId="58" xfId="0" applyNumberFormat="1" applyFont="1" applyFill="1" applyBorder="1" applyAlignment="1">
      <alignment horizontal="right"/>
    </xf>
    <xf numFmtId="169" fontId="3" fillId="3" borderId="90" xfId="0" applyNumberFormat="1" applyFont="1" applyFill="1" applyBorder="1" applyAlignment="1">
      <alignment horizontal="right"/>
    </xf>
    <xf numFmtId="165" fontId="3" fillId="3" borderId="83" xfId="1" applyNumberFormat="1" applyFont="1" applyFill="1" applyBorder="1" applyAlignment="1">
      <alignment horizontal="right"/>
    </xf>
    <xf numFmtId="169" fontId="3" fillId="3" borderId="58" xfId="1" applyNumberFormat="1" applyFont="1" applyFill="1" applyBorder="1" applyAlignment="1" applyProtection="1">
      <alignment horizontal="right"/>
    </xf>
    <xf numFmtId="169" fontId="3" fillId="3" borderId="62" xfId="1" applyNumberFormat="1" applyFont="1" applyFill="1" applyBorder="1" applyAlignment="1" applyProtection="1">
      <alignment horizontal="right"/>
    </xf>
    <xf numFmtId="3" fontId="3" fillId="3" borderId="89" xfId="0" applyNumberFormat="1" applyFont="1" applyFill="1" applyBorder="1" applyAlignment="1" applyProtection="1">
      <alignment horizontal="right"/>
    </xf>
    <xf numFmtId="169" fontId="3" fillId="3" borderId="89" xfId="0" applyNumberFormat="1" applyFont="1" applyFill="1" applyBorder="1" applyAlignment="1" applyProtection="1">
      <alignment horizontal="right"/>
    </xf>
    <xf numFmtId="169" fontId="3" fillId="3" borderId="26" xfId="1" applyNumberFormat="1" applyFont="1" applyFill="1" applyBorder="1" applyAlignment="1" applyProtection="1">
      <alignment horizontal="right"/>
    </xf>
    <xf numFmtId="169" fontId="3" fillId="3" borderId="0" xfId="0" applyNumberFormat="1" applyFont="1" applyFill="1" applyBorder="1"/>
    <xf numFmtId="165" fontId="3" fillId="3" borderId="0" xfId="1" applyNumberFormat="1" applyFont="1" applyFill="1" applyBorder="1"/>
    <xf numFmtId="169" fontId="3" fillId="3" borderId="19" xfId="0" applyNumberFormat="1" applyFont="1" applyFill="1" applyBorder="1" applyAlignment="1" applyProtection="1">
      <alignment horizontal="center"/>
    </xf>
    <xf numFmtId="164" fontId="3" fillId="4" borderId="4" xfId="0" quotePrefix="1" applyNumberFormat="1" applyFont="1" applyFill="1" applyBorder="1" applyAlignment="1" applyProtection="1">
      <alignment horizontal="left"/>
    </xf>
    <xf numFmtId="167" fontId="3" fillId="4" borderId="4" xfId="0" applyNumberFormat="1" applyFont="1" applyFill="1" applyBorder="1" applyAlignment="1" applyProtection="1">
      <alignment horizontal="right"/>
    </xf>
    <xf numFmtId="3" fontId="3" fillId="4" borderId="4" xfId="0" applyNumberFormat="1" applyFont="1" applyFill="1" applyBorder="1" applyAlignment="1" applyProtection="1">
      <alignment horizontal="right"/>
    </xf>
    <xf numFmtId="169" fontId="3" fillId="4" borderId="4" xfId="0" applyNumberFormat="1" applyFont="1" applyFill="1" applyBorder="1" applyAlignment="1" applyProtection="1">
      <alignment horizontal="right"/>
    </xf>
    <xf numFmtId="169" fontId="3" fillId="4" borderId="80" xfId="0" applyNumberFormat="1" applyFont="1" applyFill="1" applyBorder="1" applyAlignment="1" applyProtection="1">
      <alignment horizontal="right"/>
    </xf>
    <xf numFmtId="165" fontId="3" fillId="4" borderId="4" xfId="1" applyNumberFormat="1" applyFont="1" applyFill="1" applyBorder="1" applyAlignment="1">
      <alignment horizontal="right"/>
    </xf>
    <xf numFmtId="165" fontId="3" fillId="4" borderId="4" xfId="1" applyNumberFormat="1" applyFont="1" applyFill="1" applyBorder="1" applyAlignment="1" applyProtection="1">
      <alignment horizontal="right"/>
    </xf>
    <xf numFmtId="169" fontId="3" fillId="4" borderId="4" xfId="1" applyNumberFormat="1" applyFont="1" applyFill="1" applyBorder="1" applyAlignment="1" applyProtection="1">
      <alignment horizontal="right"/>
    </xf>
    <xf numFmtId="169" fontId="3" fillId="4" borderId="47" xfId="0" applyNumberFormat="1" applyFont="1" applyFill="1" applyBorder="1" applyAlignment="1" applyProtection="1">
      <alignment horizontal="right"/>
    </xf>
    <xf numFmtId="164" fontId="3" fillId="3" borderId="27" xfId="0" applyFont="1" applyFill="1" applyBorder="1" applyAlignment="1" applyProtection="1">
      <alignment horizontal="left"/>
    </xf>
    <xf numFmtId="164" fontId="3" fillId="3" borderId="35" xfId="0" applyFont="1" applyFill="1" applyBorder="1" applyAlignment="1" applyProtection="1">
      <alignment horizontal="left"/>
    </xf>
    <xf numFmtId="167" fontId="3" fillId="3" borderId="0" xfId="0" applyNumberFormat="1" applyFont="1" applyFill="1" applyBorder="1" applyAlignment="1">
      <alignment horizontal="right"/>
    </xf>
    <xf numFmtId="167" fontId="3" fillId="3" borderId="33" xfId="0" applyNumberFormat="1" applyFont="1" applyFill="1" applyBorder="1" applyAlignment="1">
      <alignment horizontal="right"/>
    </xf>
    <xf numFmtId="3" fontId="3" fillId="3" borderId="33" xfId="0" applyNumberFormat="1" applyFont="1" applyFill="1" applyBorder="1" applyAlignment="1">
      <alignment horizontal="right"/>
    </xf>
    <xf numFmtId="165" fontId="3" fillId="3" borderId="33" xfId="1" applyNumberFormat="1" applyFont="1" applyFill="1" applyBorder="1" applyAlignment="1">
      <alignment horizontal="right"/>
    </xf>
    <xf numFmtId="169" fontId="3" fillId="3" borderId="10" xfId="1" applyNumberFormat="1" applyFont="1" applyFill="1" applyBorder="1" applyAlignment="1">
      <alignment horizontal="right"/>
    </xf>
    <xf numFmtId="169" fontId="3" fillId="3" borderId="57" xfId="0" applyNumberFormat="1" applyFont="1" applyFill="1" applyBorder="1" applyAlignment="1">
      <alignment horizontal="right"/>
    </xf>
    <xf numFmtId="164" fontId="3" fillId="3" borderId="26" xfId="0" applyFont="1" applyFill="1" applyBorder="1" applyAlignment="1" applyProtection="1">
      <alignment horizontal="left"/>
    </xf>
    <xf numFmtId="167" fontId="3" fillId="3" borderId="6" xfId="0" applyNumberFormat="1" applyFont="1" applyFill="1" applyBorder="1" applyAlignment="1">
      <alignment horizontal="right"/>
    </xf>
    <xf numFmtId="167" fontId="3" fillId="3" borderId="7" xfId="0" applyNumberFormat="1" applyFont="1" applyFill="1" applyBorder="1" applyAlignment="1">
      <alignment horizontal="right"/>
    </xf>
    <xf numFmtId="169" fontId="3" fillId="3" borderId="7" xfId="0" applyNumberFormat="1" applyFont="1" applyFill="1" applyBorder="1" applyAlignment="1">
      <alignment horizontal="right"/>
    </xf>
    <xf numFmtId="169" fontId="3" fillId="3" borderId="8" xfId="0" applyNumberFormat="1" applyFont="1" applyFill="1" applyBorder="1" applyAlignment="1">
      <alignment horizontal="right"/>
    </xf>
    <xf numFmtId="167" fontId="3" fillId="3" borderId="36" xfId="0" applyNumberFormat="1" applyFont="1" applyFill="1" applyBorder="1" applyAlignment="1">
      <alignment horizontal="right"/>
    </xf>
    <xf numFmtId="167" fontId="3" fillId="3" borderId="36" xfId="0" applyNumberFormat="1" applyFont="1" applyFill="1" applyBorder="1" applyAlignment="1" applyProtection="1">
      <alignment horizontal="right"/>
    </xf>
    <xf numFmtId="3" fontId="3" fillId="3" borderId="36" xfId="0" applyNumberFormat="1" applyFont="1" applyFill="1" applyBorder="1" applyAlignment="1" applyProtection="1">
      <alignment horizontal="right"/>
    </xf>
    <xf numFmtId="169" fontId="3" fillId="3" borderId="36" xfId="0" applyNumberFormat="1" applyFont="1" applyFill="1" applyBorder="1" applyAlignment="1">
      <alignment horizontal="right"/>
    </xf>
    <xf numFmtId="169" fontId="3" fillId="3" borderId="91" xfId="0" applyNumberFormat="1" applyFont="1" applyFill="1" applyBorder="1" applyAlignment="1">
      <alignment horizontal="right"/>
    </xf>
    <xf numFmtId="167" fontId="3" fillId="3" borderId="92" xfId="0" applyNumberFormat="1" applyFont="1" applyFill="1" applyBorder="1" applyAlignment="1">
      <alignment horizontal="right"/>
    </xf>
    <xf numFmtId="3" fontId="3" fillId="3" borderId="92" xfId="0" applyNumberFormat="1" applyFont="1" applyFill="1" applyBorder="1" applyAlignment="1" applyProtection="1">
      <alignment horizontal="right"/>
    </xf>
    <xf numFmtId="169" fontId="3" fillId="3" borderId="92" xfId="0" applyNumberFormat="1" applyFont="1" applyFill="1" applyBorder="1" applyAlignment="1">
      <alignment horizontal="right"/>
    </xf>
    <xf numFmtId="169" fontId="3" fillId="3" borderId="93" xfId="0" applyNumberFormat="1" applyFont="1" applyFill="1" applyBorder="1" applyAlignment="1">
      <alignment horizontal="right"/>
    </xf>
    <xf numFmtId="165" fontId="3" fillId="3" borderId="94" xfId="1" applyNumberFormat="1" applyFont="1" applyFill="1" applyBorder="1" applyAlignment="1">
      <alignment horizontal="right"/>
    </xf>
    <xf numFmtId="164" fontId="3" fillId="3" borderId="22" xfId="0" applyFont="1" applyFill="1" applyBorder="1" applyAlignment="1" applyProtection="1">
      <alignment horizontal="left"/>
    </xf>
    <xf numFmtId="164" fontId="3" fillId="3" borderId="4" xfId="0" applyFont="1" applyFill="1" applyBorder="1" applyAlignment="1" applyProtection="1">
      <alignment horizontal="left"/>
    </xf>
    <xf numFmtId="167" fontId="3" fillId="3" borderId="95" xfId="0" applyNumberFormat="1" applyFont="1" applyFill="1" applyBorder="1" applyAlignment="1">
      <alignment horizontal="right"/>
    </xf>
    <xf numFmtId="167" fontId="3" fillId="3" borderId="95" xfId="0" applyNumberFormat="1" applyFont="1" applyFill="1" applyBorder="1" applyAlignment="1" applyProtection="1">
      <alignment horizontal="right"/>
    </xf>
    <xf numFmtId="3" fontId="3" fillId="3" borderId="95" xfId="0" applyNumberFormat="1" applyFont="1" applyFill="1" applyBorder="1" applyAlignment="1" applyProtection="1">
      <alignment horizontal="right"/>
    </xf>
    <xf numFmtId="169" fontId="3" fillId="3" borderId="95" xfId="0" applyNumberFormat="1" applyFont="1" applyFill="1" applyBorder="1" applyAlignment="1" applyProtection="1">
      <alignment horizontal="right"/>
    </xf>
    <xf numFmtId="169" fontId="3" fillId="3" borderId="95" xfId="0" applyNumberFormat="1" applyFont="1" applyFill="1" applyBorder="1" applyAlignment="1">
      <alignment horizontal="right"/>
    </xf>
    <xf numFmtId="169" fontId="3" fillId="3" borderId="80" xfId="0" applyNumberFormat="1" applyFont="1" applyFill="1" applyBorder="1" applyAlignment="1">
      <alignment horizontal="right"/>
    </xf>
    <xf numFmtId="165" fontId="3" fillId="3" borderId="95" xfId="1" applyNumberFormat="1" applyFont="1" applyFill="1" applyBorder="1" applyAlignment="1" applyProtection="1">
      <alignment horizontal="right"/>
    </xf>
    <xf numFmtId="169" fontId="3" fillId="3" borderId="95" xfId="1" applyNumberFormat="1" applyFont="1" applyFill="1" applyBorder="1" applyAlignment="1" applyProtection="1">
      <alignment horizontal="right"/>
    </xf>
    <xf numFmtId="0" fontId="3" fillId="0" borderId="4" xfId="0" applyNumberFormat="1" applyFont="1" applyBorder="1"/>
    <xf numFmtId="164" fontId="3" fillId="3" borderId="96" xfId="0" applyFont="1" applyFill="1" applyBorder="1" applyAlignment="1" applyProtection="1">
      <alignment horizontal="left"/>
    </xf>
    <xf numFmtId="164" fontId="3" fillId="4" borderId="6" xfId="0" quotePrefix="1" applyNumberFormat="1" applyFont="1" applyFill="1" applyBorder="1" applyAlignment="1" applyProtection="1">
      <alignment horizontal="left"/>
    </xf>
    <xf numFmtId="167" fontId="3" fillId="4" borderId="6" xfId="0" applyNumberFormat="1" applyFont="1" applyFill="1" applyBorder="1" applyProtection="1"/>
    <xf numFmtId="3" fontId="3" fillId="4" borderId="6" xfId="0" applyNumberFormat="1" applyFont="1" applyFill="1" applyBorder="1" applyProtection="1"/>
    <xf numFmtId="169" fontId="3" fillId="4" borderId="6" xfId="0" applyNumberFormat="1" applyFont="1" applyFill="1" applyBorder="1" applyProtection="1"/>
    <xf numFmtId="169" fontId="3" fillId="4" borderId="97" xfId="0" applyNumberFormat="1" applyFont="1" applyFill="1" applyBorder="1" applyProtection="1"/>
    <xf numFmtId="165" fontId="3" fillId="4" borderId="6" xfId="1" applyNumberFormat="1" applyFont="1" applyFill="1" applyBorder="1"/>
    <xf numFmtId="165" fontId="3" fillId="4" borderId="6" xfId="1" applyNumberFormat="1" applyFont="1" applyFill="1" applyBorder="1" applyProtection="1"/>
    <xf numFmtId="169" fontId="3" fillId="4" borderId="6" xfId="1" applyNumberFormat="1" applyFont="1" applyFill="1" applyBorder="1" applyProtection="1"/>
    <xf numFmtId="169" fontId="3" fillId="4" borderId="26" xfId="0" applyNumberFormat="1" applyFont="1" applyFill="1" applyBorder="1" applyProtection="1"/>
    <xf numFmtId="164" fontId="3" fillId="3" borderId="66" xfId="0" applyFont="1" applyFill="1" applyBorder="1" applyAlignment="1" applyProtection="1">
      <alignment horizontal="left"/>
    </xf>
    <xf numFmtId="164" fontId="3" fillId="3" borderId="9" xfId="0" applyFont="1" applyFill="1" applyBorder="1" applyAlignment="1" applyProtection="1">
      <alignment horizontal="left"/>
    </xf>
    <xf numFmtId="164" fontId="3" fillId="3" borderId="48" xfId="0" applyFont="1" applyFill="1" applyBorder="1" applyAlignment="1" applyProtection="1">
      <alignment horizontal="left"/>
    </xf>
    <xf numFmtId="167" fontId="3" fillId="3" borderId="10" xfId="0" applyNumberFormat="1" applyFont="1" applyFill="1" applyBorder="1" applyAlignment="1">
      <alignment horizontal="right"/>
    </xf>
    <xf numFmtId="164" fontId="3" fillId="3" borderId="51" xfId="0" applyFont="1" applyFill="1" applyBorder="1" applyAlignment="1" applyProtection="1">
      <alignment horizontal="left"/>
    </xf>
    <xf numFmtId="167" fontId="3" fillId="3" borderId="52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167" fontId="3" fillId="3" borderId="42" xfId="0" applyNumberFormat="1" applyFont="1" applyFill="1" applyBorder="1" applyAlignment="1">
      <alignment horizontal="right"/>
    </xf>
    <xf numFmtId="167" fontId="3" fillId="3" borderId="43" xfId="0" applyNumberFormat="1" applyFont="1" applyFill="1" applyBorder="1" applyAlignment="1">
      <alignment horizontal="right"/>
    </xf>
    <xf numFmtId="3" fontId="3" fillId="3" borderId="43" xfId="0" applyNumberFormat="1" applyFont="1" applyFill="1" applyBorder="1" applyAlignment="1">
      <alignment horizontal="right"/>
    </xf>
    <xf numFmtId="169" fontId="3" fillId="3" borderId="43" xfId="0" applyNumberFormat="1" applyFont="1" applyFill="1" applyBorder="1" applyAlignment="1">
      <alignment horizontal="right"/>
    </xf>
    <xf numFmtId="169" fontId="3" fillId="3" borderId="87" xfId="0" applyNumberFormat="1" applyFont="1" applyFill="1" applyBorder="1" applyAlignment="1">
      <alignment horizontal="right"/>
    </xf>
    <xf numFmtId="165" fontId="3" fillId="3" borderId="86" xfId="1" applyNumberFormat="1" applyFont="1" applyFill="1" applyBorder="1" applyAlignment="1">
      <alignment horizontal="right"/>
    </xf>
    <xf numFmtId="164" fontId="3" fillId="3" borderId="73" xfId="0" applyFont="1" applyFill="1" applyBorder="1" applyAlignment="1" applyProtection="1">
      <alignment horizontal="left"/>
    </xf>
    <xf numFmtId="167" fontId="3" fillId="3" borderId="67" xfId="0" applyNumberFormat="1" applyFont="1" applyFill="1" applyBorder="1" applyAlignment="1">
      <alignment horizontal="right"/>
    </xf>
    <xf numFmtId="167" fontId="3" fillId="3" borderId="29" xfId="0" applyNumberFormat="1" applyFont="1" applyFill="1" applyBorder="1" applyAlignment="1">
      <alignment horizontal="right"/>
    </xf>
    <xf numFmtId="169" fontId="3" fillId="3" borderId="29" xfId="0" applyNumberFormat="1" applyFont="1" applyFill="1" applyBorder="1" applyAlignment="1">
      <alignment horizontal="right"/>
    </xf>
    <xf numFmtId="169" fontId="3" fillId="3" borderId="98" xfId="0" applyNumberFormat="1" applyFont="1" applyFill="1" applyBorder="1" applyAlignment="1">
      <alignment horizontal="right"/>
    </xf>
    <xf numFmtId="164" fontId="3" fillId="4" borderId="99" xfId="0" applyNumberFormat="1" applyFont="1" applyFill="1" applyBorder="1" applyAlignment="1" applyProtection="1">
      <alignment horizontal="left"/>
    </xf>
    <xf numFmtId="164" fontId="3" fillId="4" borderId="62" xfId="0" quotePrefix="1" applyNumberFormat="1" applyFont="1" applyFill="1" applyBorder="1" applyAlignment="1" applyProtection="1">
      <alignment horizontal="left"/>
    </xf>
    <xf numFmtId="167" fontId="3" fillId="4" borderId="62" xfId="0" applyNumberFormat="1" applyFont="1" applyFill="1" applyBorder="1" applyAlignment="1" applyProtection="1">
      <alignment horizontal="right"/>
    </xf>
    <xf numFmtId="3" fontId="3" fillId="4" borderId="62" xfId="0" applyNumberFormat="1" applyFont="1" applyFill="1" applyBorder="1" applyAlignment="1" applyProtection="1">
      <alignment horizontal="right"/>
    </xf>
    <xf numFmtId="169" fontId="3" fillId="4" borderId="62" xfId="0" applyNumberFormat="1" applyFont="1" applyFill="1" applyBorder="1" applyAlignment="1" applyProtection="1">
      <alignment horizontal="right"/>
    </xf>
    <xf numFmtId="169" fontId="3" fillId="4" borderId="82" xfId="0" applyNumberFormat="1" applyFont="1" applyFill="1" applyBorder="1" applyAlignment="1" applyProtection="1">
      <alignment horizontal="right"/>
    </xf>
    <xf numFmtId="165" fontId="3" fillId="4" borderId="62" xfId="1" applyNumberFormat="1" applyFont="1" applyFill="1" applyBorder="1" applyAlignment="1">
      <alignment horizontal="right"/>
    </xf>
    <xf numFmtId="165" fontId="3" fillId="4" borderId="62" xfId="1" applyNumberFormat="1" applyFont="1" applyFill="1" applyBorder="1" applyAlignment="1" applyProtection="1">
      <alignment horizontal="right"/>
    </xf>
    <xf numFmtId="169" fontId="3" fillId="4" borderId="62" xfId="1" applyNumberFormat="1" applyFont="1" applyFill="1" applyBorder="1" applyAlignment="1" applyProtection="1">
      <alignment horizontal="right"/>
    </xf>
    <xf numFmtId="169" fontId="3" fillId="4" borderId="54" xfId="0" applyNumberFormat="1" applyFont="1" applyFill="1" applyBorder="1" applyAlignment="1" applyProtection="1">
      <alignment horizontal="right"/>
    </xf>
    <xf numFmtId="164" fontId="3" fillId="3" borderId="2" xfId="0" applyFont="1" applyFill="1" applyBorder="1" applyAlignment="1" applyProtection="1">
      <alignment horizontal="left"/>
    </xf>
    <xf numFmtId="167" fontId="3" fillId="3" borderId="28" xfId="0" applyNumberFormat="1" applyFont="1" applyFill="1" applyBorder="1" applyAlignment="1">
      <alignment horizontal="right"/>
    </xf>
    <xf numFmtId="3" fontId="3" fillId="3" borderId="29" xfId="0" applyNumberFormat="1" applyFont="1" applyFill="1" applyBorder="1" applyAlignment="1">
      <alignment horizontal="right"/>
    </xf>
    <xf numFmtId="165" fontId="3" fillId="3" borderId="29" xfId="1" applyNumberFormat="1" applyFont="1" applyFill="1" applyBorder="1" applyAlignment="1">
      <alignment horizontal="right"/>
    </xf>
    <xf numFmtId="169" fontId="3" fillId="3" borderId="67" xfId="1" applyNumberFormat="1" applyFont="1" applyFill="1" applyBorder="1" applyAlignment="1">
      <alignment horizontal="right"/>
    </xf>
    <xf numFmtId="169" fontId="3" fillId="3" borderId="68" xfId="0" applyNumberFormat="1" applyFont="1" applyFill="1" applyBorder="1" applyAlignment="1">
      <alignment horizontal="right"/>
    </xf>
    <xf numFmtId="167" fontId="3" fillId="3" borderId="100" xfId="0" applyNumberFormat="1" applyFont="1" applyFill="1" applyBorder="1" applyAlignment="1">
      <alignment horizontal="right"/>
    </xf>
    <xf numFmtId="3" fontId="3" fillId="3" borderId="100" xfId="0" applyNumberFormat="1" applyFont="1" applyFill="1" applyBorder="1" applyAlignment="1" applyProtection="1">
      <alignment horizontal="right"/>
    </xf>
    <xf numFmtId="169" fontId="3" fillId="3" borderId="100" xfId="0" applyNumberFormat="1" applyFont="1" applyFill="1" applyBorder="1" applyAlignment="1">
      <alignment horizontal="right"/>
    </xf>
    <xf numFmtId="169" fontId="3" fillId="3" borderId="101" xfId="0" applyNumberFormat="1" applyFont="1" applyFill="1" applyBorder="1" applyAlignment="1">
      <alignment horizontal="right"/>
    </xf>
    <xf numFmtId="164" fontId="3" fillId="3" borderId="20" xfId="0" applyFont="1" applyFill="1" applyBorder="1" applyAlignment="1" applyProtection="1">
      <alignment horizontal="left"/>
    </xf>
    <xf numFmtId="2" fontId="3" fillId="3" borderId="45" xfId="0" applyNumberFormat="1" applyFont="1" applyFill="1" applyBorder="1" applyAlignment="1" applyProtection="1">
      <alignment horizontal="left"/>
    </xf>
    <xf numFmtId="167" fontId="3" fillId="3" borderId="45" xfId="0" applyNumberFormat="1" applyFont="1" applyFill="1" applyBorder="1" applyAlignment="1" applyProtection="1">
      <alignment horizontal="right"/>
    </xf>
    <xf numFmtId="167" fontId="3" fillId="3" borderId="102" xfId="0" applyNumberFormat="1" applyFont="1" applyFill="1" applyBorder="1" applyAlignment="1" applyProtection="1">
      <alignment horizontal="right"/>
    </xf>
    <xf numFmtId="2" fontId="3" fillId="3" borderId="102" xfId="0" applyNumberFormat="1" applyFont="1" applyFill="1" applyBorder="1" applyAlignment="1" applyProtection="1">
      <alignment horizontal="right"/>
    </xf>
    <xf numFmtId="169" fontId="3" fillId="3" borderId="102" xfId="0" applyNumberFormat="1" applyFont="1" applyFill="1" applyBorder="1" applyAlignment="1" applyProtection="1">
      <alignment horizontal="right"/>
    </xf>
    <xf numFmtId="169" fontId="3" fillId="3" borderId="103" xfId="0" applyNumberFormat="1" applyFont="1" applyFill="1" applyBorder="1" applyAlignment="1" applyProtection="1">
      <alignment horizontal="right"/>
    </xf>
    <xf numFmtId="2" fontId="3" fillId="3" borderId="69" xfId="1" applyNumberFormat="1" applyFont="1" applyFill="1" applyBorder="1" applyAlignment="1" applyProtection="1">
      <alignment horizontal="right"/>
    </xf>
    <xf numFmtId="165" fontId="3" fillId="3" borderId="104" xfId="1" applyNumberFormat="1" applyFont="1" applyFill="1" applyBorder="1" applyAlignment="1" applyProtection="1">
      <alignment horizontal="right"/>
    </xf>
    <xf numFmtId="169" fontId="3" fillId="3" borderId="105" xfId="1" applyNumberFormat="1" applyFont="1" applyFill="1" applyBorder="1" applyAlignment="1" applyProtection="1">
      <alignment horizontal="right"/>
    </xf>
    <xf numFmtId="169" fontId="3" fillId="3" borderId="106" xfId="0" applyNumberFormat="1" applyFont="1" applyFill="1" applyBorder="1" applyAlignment="1" applyProtection="1">
      <alignment horizontal="right"/>
    </xf>
    <xf numFmtId="2" fontId="3" fillId="3" borderId="4" xfId="0" applyNumberFormat="1" applyFont="1" applyFill="1" applyBorder="1"/>
    <xf numFmtId="164" fontId="3" fillId="4" borderId="22" xfId="0" quotePrefix="1" applyNumberFormat="1" applyFont="1" applyFill="1" applyBorder="1" applyAlignment="1" applyProtection="1">
      <alignment horizontal="left"/>
    </xf>
    <xf numFmtId="164" fontId="3" fillId="4" borderId="47" xfId="0" applyNumberFormat="1" applyFont="1" applyFill="1" applyBorder="1" applyAlignment="1" applyProtection="1">
      <alignment horizontal="left"/>
    </xf>
    <xf numFmtId="167" fontId="3" fillId="4" borderId="107" xfId="0" applyNumberFormat="1" applyFont="1" applyFill="1" applyBorder="1" applyAlignment="1" applyProtection="1">
      <alignment horizontal="right"/>
    </xf>
    <xf numFmtId="3" fontId="3" fillId="4" borderId="107" xfId="0" applyNumberFormat="1" applyFont="1" applyFill="1" applyBorder="1" applyAlignment="1" applyProtection="1">
      <alignment horizontal="right"/>
    </xf>
    <xf numFmtId="169" fontId="3" fillId="4" borderId="107" xfId="0" applyNumberFormat="1" applyFont="1" applyFill="1" applyBorder="1" applyAlignment="1" applyProtection="1">
      <alignment horizontal="right"/>
    </xf>
    <xf numFmtId="169" fontId="3" fillId="4" borderId="108" xfId="0" applyNumberFormat="1" applyFont="1" applyFill="1" applyBorder="1" applyAlignment="1" applyProtection="1">
      <alignment horizontal="right"/>
    </xf>
    <xf numFmtId="165" fontId="3" fillId="4" borderId="109" xfId="1" applyNumberFormat="1" applyFont="1" applyFill="1" applyBorder="1" applyAlignment="1">
      <alignment horizontal="right"/>
    </xf>
    <xf numFmtId="164" fontId="3" fillId="4" borderId="54" xfId="0" quotePrefix="1" applyNumberFormat="1" applyFont="1" applyFill="1" applyBorder="1" applyAlignment="1" applyProtection="1">
      <alignment horizontal="left"/>
    </xf>
    <xf numFmtId="167" fontId="3" fillId="3" borderId="32" xfId="0" applyNumberFormat="1" applyFont="1" applyFill="1" applyBorder="1" applyAlignment="1">
      <alignment horizontal="right"/>
    </xf>
    <xf numFmtId="167" fontId="3" fillId="3" borderId="32" xfId="0" applyNumberFormat="1" applyFont="1" applyFill="1" applyBorder="1" applyAlignment="1" applyProtection="1">
      <alignment horizontal="right"/>
    </xf>
    <xf numFmtId="3" fontId="3" fillId="3" borderId="32" xfId="0" applyNumberFormat="1" applyFont="1" applyFill="1" applyBorder="1" applyAlignment="1" applyProtection="1">
      <alignment horizontal="right"/>
    </xf>
    <xf numFmtId="169" fontId="3" fillId="3" borderId="32" xfId="0" applyNumberFormat="1" applyFont="1" applyFill="1" applyBorder="1" applyAlignment="1">
      <alignment horizontal="right"/>
    </xf>
    <xf numFmtId="169" fontId="3" fillId="3" borderId="110" xfId="0" applyNumberFormat="1" applyFont="1" applyFill="1" applyBorder="1" applyAlignment="1">
      <alignment horizontal="right"/>
    </xf>
    <xf numFmtId="164" fontId="3" fillId="3" borderId="47" xfId="0" applyFont="1" applyFill="1" applyBorder="1" applyAlignment="1" applyProtection="1">
      <alignment horizontal="left"/>
    </xf>
    <xf numFmtId="167" fontId="3" fillId="3" borderId="56" xfId="0" applyNumberFormat="1" applyFont="1" applyFill="1" applyBorder="1" applyAlignment="1">
      <alignment horizontal="right"/>
    </xf>
    <xf numFmtId="3" fontId="3" fillId="3" borderId="56" xfId="0" applyNumberFormat="1" applyFont="1" applyFill="1" applyBorder="1" applyAlignment="1" applyProtection="1">
      <alignment horizontal="right"/>
    </xf>
    <xf numFmtId="169" fontId="3" fillId="3" borderId="56" xfId="0" applyNumberFormat="1" applyFont="1" applyFill="1" applyBorder="1" applyAlignment="1">
      <alignment horizontal="right"/>
    </xf>
    <xf numFmtId="169" fontId="3" fillId="3" borderId="111" xfId="0" applyNumberFormat="1" applyFont="1" applyFill="1" applyBorder="1" applyAlignment="1">
      <alignment horizontal="right"/>
    </xf>
    <xf numFmtId="164" fontId="3" fillId="4" borderId="95" xfId="0" quotePrefix="1" applyNumberFormat="1" applyFont="1" applyFill="1" applyBorder="1" applyAlignment="1" applyProtection="1">
      <alignment horizontal="left"/>
    </xf>
    <xf numFmtId="167" fontId="3" fillId="3" borderId="49" xfId="0" applyNumberFormat="1" applyFont="1" applyFill="1" applyBorder="1" applyAlignment="1">
      <alignment horizontal="right"/>
    </xf>
    <xf numFmtId="3" fontId="3" fillId="3" borderId="49" xfId="0" applyNumberFormat="1" applyFont="1" applyFill="1" applyBorder="1" applyAlignment="1" applyProtection="1">
      <alignment horizontal="right"/>
    </xf>
    <xf numFmtId="169" fontId="3" fillId="3" borderId="49" xfId="0" applyNumberFormat="1" applyFont="1" applyFill="1" applyBorder="1" applyAlignment="1">
      <alignment horizontal="right"/>
    </xf>
    <xf numFmtId="169" fontId="3" fillId="3" borderId="112" xfId="0" applyNumberFormat="1" applyFont="1" applyFill="1" applyBorder="1" applyAlignment="1">
      <alignment horizontal="right"/>
    </xf>
    <xf numFmtId="169" fontId="3" fillId="3" borderId="49" xfId="0" applyNumberFormat="1" applyFont="1" applyFill="1" applyBorder="1" applyAlignment="1" applyProtection="1">
      <alignment horizontal="right"/>
    </xf>
    <xf numFmtId="165" fontId="3" fillId="3" borderId="0" xfId="1" applyNumberFormat="1" applyFont="1" applyFill="1" applyBorder="1" applyAlignment="1">
      <alignment horizontal="right"/>
    </xf>
    <xf numFmtId="169" fontId="3" fillId="3" borderId="29" xfId="1" applyNumberFormat="1" applyFont="1" applyFill="1" applyBorder="1" applyAlignment="1" applyProtection="1">
      <alignment horizontal="right"/>
    </xf>
    <xf numFmtId="167" fontId="3" fillId="3" borderId="35" xfId="0" applyNumberFormat="1" applyFont="1" applyFill="1" applyBorder="1" applyAlignment="1" applyProtection="1"/>
    <xf numFmtId="3" fontId="3" fillId="3" borderId="35" xfId="0" applyNumberFormat="1" applyFont="1" applyFill="1" applyBorder="1" applyAlignment="1" applyProtection="1"/>
    <xf numFmtId="169" fontId="3" fillId="3" borderId="47" xfId="0" applyNumberFormat="1" applyFont="1" applyFill="1" applyBorder="1" applyAlignment="1" applyProtection="1"/>
    <xf numFmtId="169" fontId="3" fillId="3" borderId="35" xfId="0" applyNumberFormat="1" applyFont="1" applyFill="1" applyBorder="1" applyAlignment="1"/>
    <xf numFmtId="169" fontId="3" fillId="3" borderId="80" xfId="0" applyNumberFormat="1" applyFont="1" applyFill="1" applyBorder="1" applyAlignment="1" applyProtection="1"/>
    <xf numFmtId="165" fontId="3" fillId="0" borderId="35" xfId="0" applyNumberFormat="1" applyFont="1" applyBorder="1" applyAlignment="1"/>
    <xf numFmtId="165" fontId="3" fillId="3" borderId="47" xfId="1" applyNumberFormat="1" applyFont="1" applyFill="1" applyBorder="1" applyAlignment="1" applyProtection="1"/>
    <xf numFmtId="169" fontId="3" fillId="3" borderId="47" xfId="1" applyNumberFormat="1" applyFont="1" applyFill="1" applyBorder="1" applyAlignment="1" applyProtection="1"/>
    <xf numFmtId="164" fontId="4" fillId="3" borderId="21" xfId="0" applyFont="1" applyFill="1" applyBorder="1"/>
    <xf numFmtId="167" fontId="4" fillId="3" borderId="21" xfId="0" applyNumberFormat="1" applyFont="1" applyFill="1" applyBorder="1" applyAlignment="1" applyProtection="1">
      <alignment horizontal="right"/>
    </xf>
    <xf numFmtId="169" fontId="3" fillId="3" borderId="113" xfId="0" applyNumberFormat="1" applyFont="1" applyFill="1" applyBorder="1" applyAlignment="1" applyProtection="1">
      <alignment horizontal="right"/>
    </xf>
    <xf numFmtId="165" fontId="3" fillId="3" borderId="21" xfId="0" applyNumberFormat="1" applyFont="1" applyFill="1" applyBorder="1" applyAlignment="1" applyProtection="1">
      <alignment horizontal="right"/>
    </xf>
    <xf numFmtId="167" fontId="3" fillId="3" borderId="114" xfId="0" applyNumberFormat="1" applyFont="1" applyFill="1" applyBorder="1" applyAlignment="1" applyProtection="1">
      <alignment horizontal="right"/>
    </xf>
    <xf numFmtId="167" fontId="3" fillId="3" borderId="115" xfId="0" applyNumberFormat="1" applyFont="1" applyFill="1" applyBorder="1" applyAlignment="1" applyProtection="1">
      <alignment horizontal="right"/>
    </xf>
    <xf numFmtId="3" fontId="3" fillId="3" borderId="115" xfId="0" applyNumberFormat="1" applyFont="1" applyFill="1" applyBorder="1" applyAlignment="1" applyProtection="1">
      <alignment horizontal="right"/>
    </xf>
    <xf numFmtId="169" fontId="3" fillId="3" borderId="115" xfId="0" applyNumberFormat="1" applyFont="1" applyFill="1" applyBorder="1" applyAlignment="1" applyProtection="1">
      <alignment horizontal="right"/>
    </xf>
    <xf numFmtId="169" fontId="3" fillId="3" borderId="116" xfId="0" applyNumberFormat="1" applyFont="1" applyFill="1" applyBorder="1" applyAlignment="1" applyProtection="1">
      <alignment horizontal="right"/>
    </xf>
    <xf numFmtId="167" fontId="3" fillId="3" borderId="10" xfId="0" applyNumberFormat="1" applyFont="1" applyFill="1" applyBorder="1" applyAlignment="1" applyProtection="1">
      <alignment horizontal="right"/>
    </xf>
    <xf numFmtId="169" fontId="3" fillId="3" borderId="91" xfId="0" applyNumberFormat="1" applyFont="1" applyFill="1" applyBorder="1" applyAlignment="1" applyProtection="1">
      <alignment horizontal="right"/>
    </xf>
    <xf numFmtId="164" fontId="3" fillId="3" borderId="27" xfId="0" quotePrefix="1" applyNumberFormat="1" applyFont="1" applyFill="1" applyBorder="1" applyAlignment="1" applyProtection="1">
      <alignment horizontal="left"/>
    </xf>
    <xf numFmtId="167" fontId="3" fillId="3" borderId="0" xfId="0" applyNumberFormat="1" applyFont="1" applyFill="1" applyBorder="1"/>
    <xf numFmtId="167" fontId="3" fillId="3" borderId="36" xfId="0" applyNumberFormat="1" applyFont="1" applyFill="1" applyBorder="1"/>
    <xf numFmtId="164" fontId="3" fillId="3" borderId="36" xfId="0" applyFont="1" applyFill="1" applyBorder="1"/>
    <xf numFmtId="169" fontId="3" fillId="3" borderId="36" xfId="0" applyNumberFormat="1" applyFont="1" applyFill="1" applyBorder="1"/>
    <xf numFmtId="169" fontId="3" fillId="3" borderId="91" xfId="0" applyNumberFormat="1" applyFont="1" applyFill="1" applyBorder="1"/>
    <xf numFmtId="164" fontId="3" fillId="3" borderId="35" xfId="0" applyFont="1" applyFill="1" applyBorder="1"/>
    <xf numFmtId="165" fontId="3" fillId="3" borderId="36" xfId="0" applyNumberFormat="1" applyFont="1" applyFill="1" applyBorder="1"/>
    <xf numFmtId="167" fontId="3" fillId="3" borderId="72" xfId="0" applyNumberFormat="1" applyFont="1" applyFill="1" applyBorder="1" applyAlignment="1" applyProtection="1">
      <alignment horizontal="right"/>
    </xf>
    <xf numFmtId="169" fontId="3" fillId="3" borderId="56" xfId="0" applyNumberFormat="1" applyFont="1" applyFill="1" applyBorder="1" applyAlignment="1" applyProtection="1">
      <alignment horizontal="right"/>
    </xf>
    <xf numFmtId="165" fontId="3" fillId="3" borderId="56" xfId="1" applyNumberFormat="1" applyFont="1" applyFill="1" applyBorder="1" applyAlignment="1" applyProtection="1">
      <alignment horizontal="right"/>
    </xf>
    <xf numFmtId="169" fontId="3" fillId="3" borderId="56" xfId="1" applyNumberFormat="1" applyFont="1" applyFill="1" applyBorder="1" applyAlignment="1" applyProtection="1">
      <alignment horizontal="right"/>
    </xf>
    <xf numFmtId="165" fontId="3" fillId="3" borderId="48" xfId="1" applyNumberFormat="1" applyFont="1" applyFill="1" applyBorder="1" applyAlignment="1" applyProtection="1">
      <alignment horizontal="right"/>
    </xf>
    <xf numFmtId="169" fontId="3" fillId="3" borderId="70" xfId="0" applyNumberFormat="1" applyFont="1" applyFill="1" applyBorder="1" applyAlignment="1">
      <alignment horizontal="right"/>
    </xf>
    <xf numFmtId="169" fontId="3" fillId="3" borderId="117" xfId="0" applyNumberFormat="1" applyFont="1" applyFill="1" applyBorder="1" applyAlignment="1">
      <alignment horizontal="right"/>
    </xf>
    <xf numFmtId="169" fontId="3" fillId="3" borderId="88" xfId="0" applyNumberFormat="1" applyFont="1" applyFill="1" applyBorder="1" applyAlignment="1" applyProtection="1">
      <alignment horizontal="right"/>
    </xf>
    <xf numFmtId="169" fontId="3" fillId="3" borderId="118" xfId="0" applyNumberFormat="1" applyFont="1" applyFill="1" applyBorder="1" applyAlignment="1" applyProtection="1">
      <alignment horizontal="right"/>
    </xf>
    <xf numFmtId="169" fontId="3" fillId="3" borderId="119" xfId="0" applyNumberFormat="1" applyFont="1" applyFill="1" applyBorder="1" applyAlignment="1" applyProtection="1">
      <alignment horizontal="right"/>
    </xf>
    <xf numFmtId="4" fontId="3" fillId="0" borderId="20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4" fontId="3" fillId="0" borderId="17" xfId="0" applyNumberFormat="1" applyFont="1" applyFill="1" applyBorder="1" applyAlignment="1" applyProtection="1">
      <alignment horizontal="right"/>
    </xf>
    <xf numFmtId="165" fontId="3" fillId="0" borderId="17" xfId="0" applyNumberFormat="1" applyFont="1" applyFill="1" applyBorder="1" applyAlignment="1" applyProtection="1">
      <alignment horizontal="right"/>
    </xf>
    <xf numFmtId="164" fontId="3" fillId="2" borderId="0" xfId="0" applyFont="1" applyFill="1" applyBorder="1"/>
    <xf numFmtId="167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 applyProtection="1">
      <alignment horizontal="right"/>
    </xf>
    <xf numFmtId="169" fontId="3" fillId="2" borderId="0" xfId="0" applyNumberFormat="1" applyFont="1" applyFill="1" applyBorder="1" applyAlignment="1" applyProtection="1">
      <alignment horizontal="right"/>
    </xf>
    <xf numFmtId="169" fontId="3" fillId="3" borderId="0" xfId="0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169" fontId="3" fillId="2" borderId="0" xfId="1" applyNumberFormat="1" applyFont="1" applyFill="1" applyBorder="1" applyAlignment="1" applyProtection="1">
      <alignment horizontal="right"/>
    </xf>
    <xf numFmtId="0" fontId="3" fillId="3" borderId="1" xfId="0" applyNumberFormat="1" applyFont="1" applyFill="1" applyBorder="1"/>
    <xf numFmtId="0" fontId="3" fillId="3" borderId="0" xfId="0" applyNumberFormat="1" applyFont="1" applyFill="1" applyBorder="1"/>
    <xf numFmtId="164" fontId="3" fillId="3" borderId="62" xfId="0" applyNumberFormat="1" applyFont="1" applyFill="1" applyBorder="1" applyAlignment="1" applyProtection="1">
      <alignment horizontal="left"/>
    </xf>
    <xf numFmtId="3" fontId="3" fillId="3" borderId="53" xfId="0" applyNumberFormat="1" applyFont="1" applyFill="1" applyBorder="1" applyAlignment="1" applyProtection="1">
      <alignment horizontal="center"/>
    </xf>
    <xf numFmtId="169" fontId="3" fillId="3" borderId="53" xfId="0" applyNumberFormat="1" applyFont="1" applyFill="1" applyBorder="1" applyAlignment="1">
      <alignment horizontal="right"/>
    </xf>
    <xf numFmtId="165" fontId="3" fillId="0" borderId="62" xfId="0" applyNumberFormat="1" applyFont="1" applyBorder="1" applyAlignment="1">
      <alignment horizontal="right"/>
    </xf>
    <xf numFmtId="165" fontId="3" fillId="3" borderId="53" xfId="1" applyNumberFormat="1" applyFont="1" applyFill="1" applyBorder="1" applyAlignment="1" applyProtection="1">
      <alignment horizontal="right"/>
    </xf>
    <xf numFmtId="169" fontId="3" fillId="3" borderId="49" xfId="1" applyNumberFormat="1" applyFont="1" applyFill="1" applyBorder="1" applyAlignment="1" applyProtection="1">
      <alignment horizontal="right"/>
    </xf>
    <xf numFmtId="167" fontId="3" fillId="3" borderId="107" xfId="0" applyNumberFormat="1" applyFont="1" applyFill="1" applyBorder="1" applyAlignment="1" applyProtection="1">
      <alignment horizontal="right"/>
    </xf>
    <xf numFmtId="3" fontId="3" fillId="3" borderId="107" xfId="0" applyNumberFormat="1" applyFont="1" applyFill="1" applyBorder="1" applyAlignment="1" applyProtection="1">
      <alignment horizontal="center"/>
    </xf>
    <xf numFmtId="169" fontId="3" fillId="3" borderId="107" xfId="0" applyNumberFormat="1" applyFont="1" applyFill="1" applyBorder="1" applyAlignment="1">
      <alignment horizontal="right"/>
    </xf>
    <xf numFmtId="165" fontId="3" fillId="3" borderId="49" xfId="1" applyNumberFormat="1" applyFont="1" applyFill="1" applyBorder="1" applyAlignment="1" applyProtection="1">
      <alignment horizontal="right"/>
    </xf>
    <xf numFmtId="3" fontId="3" fillId="3" borderId="21" xfId="0" applyNumberFormat="1" applyFont="1" applyFill="1" applyBorder="1" applyAlignment="1" applyProtection="1">
      <alignment horizontal="center"/>
    </xf>
    <xf numFmtId="164" fontId="3" fillId="4" borderId="4" xfId="0" applyNumberFormat="1" applyFont="1" applyFill="1" applyBorder="1" applyAlignment="1" applyProtection="1">
      <alignment horizontal="left"/>
    </xf>
    <xf numFmtId="167" fontId="3" fillId="4" borderId="4" xfId="0" applyNumberFormat="1" applyFont="1" applyFill="1" applyBorder="1" applyProtection="1"/>
    <xf numFmtId="3" fontId="3" fillId="4" borderId="4" xfId="0" applyNumberFormat="1" applyFont="1" applyFill="1" applyBorder="1" applyProtection="1"/>
    <xf numFmtId="169" fontId="3" fillId="4" borderId="4" xfId="0" applyNumberFormat="1" applyFont="1" applyFill="1" applyBorder="1" applyProtection="1"/>
    <xf numFmtId="169" fontId="3" fillId="4" borderId="80" xfId="0" applyNumberFormat="1" applyFont="1" applyFill="1" applyBorder="1" applyProtection="1"/>
    <xf numFmtId="165" fontId="3" fillId="4" borderId="4" xfId="1" applyNumberFormat="1" applyFont="1" applyFill="1" applyBorder="1"/>
    <xf numFmtId="165" fontId="3" fillId="4" borderId="4" xfId="1" applyNumberFormat="1" applyFont="1" applyFill="1" applyBorder="1" applyProtection="1"/>
    <xf numFmtId="169" fontId="3" fillId="4" borderId="0" xfId="1" applyNumberFormat="1" applyFont="1" applyFill="1" applyBorder="1" applyProtection="1"/>
    <xf numFmtId="169" fontId="3" fillId="4" borderId="47" xfId="0" applyNumberFormat="1" applyFont="1" applyFill="1" applyBorder="1" applyProtection="1"/>
    <xf numFmtId="164" fontId="3" fillId="4" borderId="0" xfId="0" applyNumberFormat="1" applyFont="1" applyFill="1" applyBorder="1" applyAlignment="1" applyProtection="1">
      <alignment horizontal="left"/>
    </xf>
    <xf numFmtId="164" fontId="3" fillId="4" borderId="1" xfId="0" applyNumberFormat="1" applyFont="1" applyFill="1" applyBorder="1" applyAlignment="1" applyProtection="1">
      <alignment horizontal="left"/>
    </xf>
    <xf numFmtId="167" fontId="3" fillId="4" borderId="29" xfId="0" applyNumberFormat="1" applyFont="1" applyFill="1" applyBorder="1" applyProtection="1"/>
    <xf numFmtId="167" fontId="3" fillId="4" borderId="66" xfId="0" applyNumberFormat="1" applyFont="1" applyFill="1" applyBorder="1" applyProtection="1"/>
    <xf numFmtId="3" fontId="3" fillId="4" borderId="28" xfId="0" applyNumberFormat="1" applyFont="1" applyFill="1" applyBorder="1" applyProtection="1"/>
    <xf numFmtId="169" fontId="3" fillId="4" borderId="28" xfId="0" applyNumberFormat="1" applyFont="1" applyFill="1" applyBorder="1" applyProtection="1"/>
    <xf numFmtId="169" fontId="3" fillId="4" borderId="29" xfId="0" applyNumberFormat="1" applyFont="1" applyFill="1" applyBorder="1" applyProtection="1"/>
    <xf numFmtId="169" fontId="3" fillId="4" borderId="118" xfId="0" applyNumberFormat="1" applyFont="1" applyFill="1" applyBorder="1" applyProtection="1"/>
    <xf numFmtId="165" fontId="3" fillId="4" borderId="120" xfId="1" applyNumberFormat="1" applyFont="1" applyFill="1" applyBorder="1"/>
    <xf numFmtId="165" fontId="3" fillId="4" borderId="32" xfId="1" applyNumberFormat="1" applyFont="1" applyFill="1" applyBorder="1" applyProtection="1"/>
    <xf numFmtId="169" fontId="3" fillId="4" borderId="35" xfId="1" applyNumberFormat="1" applyFont="1" applyFill="1" applyBorder="1" applyProtection="1"/>
    <xf numFmtId="169" fontId="3" fillId="4" borderId="2" xfId="0" applyNumberFormat="1" applyFont="1" applyFill="1" applyBorder="1" applyProtection="1"/>
    <xf numFmtId="167" fontId="3" fillId="3" borderId="9" xfId="0" applyNumberFormat="1" applyFont="1" applyFill="1" applyBorder="1" applyAlignment="1" applyProtection="1">
      <alignment horizontal="right"/>
    </xf>
    <xf numFmtId="169" fontId="3" fillId="3" borderId="52" xfId="0" applyNumberFormat="1" applyFont="1" applyFill="1" applyBorder="1" applyAlignment="1" applyProtection="1">
      <alignment horizontal="right"/>
    </xf>
    <xf numFmtId="169" fontId="3" fillId="3" borderId="97" xfId="0" applyNumberFormat="1" applyFont="1" applyFill="1" applyBorder="1" applyAlignment="1">
      <alignment horizontal="right"/>
    </xf>
    <xf numFmtId="165" fontId="3" fillId="3" borderId="121" xfId="1" applyNumberFormat="1" applyFont="1" applyFill="1" applyBorder="1" applyAlignment="1">
      <alignment horizontal="right"/>
    </xf>
    <xf numFmtId="165" fontId="3" fillId="3" borderId="122" xfId="1" applyNumberFormat="1" applyFont="1" applyFill="1" applyBorder="1" applyAlignment="1" applyProtection="1">
      <alignment horizontal="right"/>
    </xf>
    <xf numFmtId="3" fontId="3" fillId="4" borderId="1" xfId="0" applyNumberFormat="1" applyFont="1" applyFill="1" applyBorder="1" applyProtection="1"/>
    <xf numFmtId="169" fontId="3" fillId="4" borderId="1" xfId="0" applyNumberFormat="1" applyFont="1" applyFill="1" applyBorder="1" applyProtection="1"/>
    <xf numFmtId="169" fontId="3" fillId="4" borderId="74" xfId="0" applyNumberFormat="1" applyFont="1" applyFill="1" applyBorder="1" applyProtection="1"/>
    <xf numFmtId="165" fontId="3" fillId="4" borderId="123" xfId="1" applyNumberFormat="1" applyFont="1" applyFill="1" applyBorder="1"/>
    <xf numFmtId="165" fontId="3" fillId="4" borderId="49" xfId="1" applyNumberFormat="1" applyFont="1" applyFill="1" applyBorder="1" applyProtection="1"/>
    <xf numFmtId="169" fontId="3" fillId="4" borderId="2" xfId="1" applyNumberFormat="1" applyFont="1" applyFill="1" applyBorder="1" applyProtection="1"/>
    <xf numFmtId="165" fontId="3" fillId="3" borderId="124" xfId="1" applyNumberFormat="1" applyFont="1" applyFill="1" applyBorder="1" applyAlignment="1">
      <alignment horizontal="right"/>
    </xf>
    <xf numFmtId="164" fontId="3" fillId="3" borderId="1" xfId="0" applyFont="1" applyFill="1" applyBorder="1" applyAlignment="1" applyProtection="1">
      <alignment horizontal="left"/>
    </xf>
    <xf numFmtId="167" fontId="3" fillId="3" borderId="74" xfId="0" applyNumberFormat="1" applyFont="1" applyFill="1" applyBorder="1"/>
    <xf numFmtId="167" fontId="3" fillId="3" borderId="1" xfId="0" applyNumberFormat="1" applyFont="1" applyFill="1" applyBorder="1"/>
    <xf numFmtId="3" fontId="3" fillId="3" borderId="76" xfId="0" applyNumberFormat="1" applyFont="1" applyFill="1" applyBorder="1"/>
    <xf numFmtId="169" fontId="3" fillId="3" borderId="76" xfId="0" applyNumberFormat="1" applyFont="1" applyFill="1" applyBorder="1"/>
    <xf numFmtId="169" fontId="3" fillId="3" borderId="74" xfId="0" applyNumberFormat="1" applyFont="1" applyFill="1" applyBorder="1"/>
    <xf numFmtId="169" fontId="3" fillId="3" borderId="118" xfId="0" applyNumberFormat="1" applyFont="1" applyFill="1" applyBorder="1"/>
    <xf numFmtId="165" fontId="3" fillId="3" borderId="1" xfId="1" applyNumberFormat="1" applyFont="1" applyFill="1" applyBorder="1"/>
    <xf numFmtId="165" fontId="3" fillId="3" borderId="76" xfId="1" applyNumberFormat="1" applyFont="1" applyFill="1" applyBorder="1"/>
    <xf numFmtId="169" fontId="3" fillId="3" borderId="76" xfId="1" applyNumberFormat="1" applyFont="1" applyFill="1" applyBorder="1"/>
    <xf numFmtId="169" fontId="3" fillId="3" borderId="77" xfId="0" applyNumberFormat="1" applyFont="1" applyFill="1" applyBorder="1"/>
    <xf numFmtId="164" fontId="3" fillId="3" borderId="6" xfId="0" applyFont="1" applyFill="1" applyBorder="1" applyAlignment="1" applyProtection="1">
      <alignment horizontal="left"/>
    </xf>
    <xf numFmtId="164" fontId="3" fillId="3" borderId="17" xfId="0" applyFont="1" applyFill="1" applyBorder="1" applyAlignment="1" applyProtection="1">
      <alignment horizontal="left"/>
    </xf>
    <xf numFmtId="3" fontId="3" fillId="3" borderId="125" xfId="0" applyNumberFormat="1" applyFont="1" applyFill="1" applyBorder="1" applyAlignment="1" applyProtection="1">
      <alignment horizontal="right"/>
    </xf>
    <xf numFmtId="169" fontId="3" fillId="3" borderId="125" xfId="0" applyNumberFormat="1" applyFont="1" applyFill="1" applyBorder="1" applyAlignment="1" applyProtection="1">
      <alignment horizontal="right"/>
    </xf>
    <xf numFmtId="165" fontId="3" fillId="3" borderId="125" xfId="0" applyNumberFormat="1" applyFont="1" applyFill="1" applyBorder="1" applyAlignment="1" applyProtection="1">
      <alignment horizontal="right"/>
    </xf>
    <xf numFmtId="0" fontId="3" fillId="3" borderId="4" xfId="0" applyNumberFormat="1" applyFont="1" applyFill="1" applyBorder="1"/>
    <xf numFmtId="164" fontId="3" fillId="3" borderId="0" xfId="0" applyFont="1" applyFill="1" applyBorder="1" applyAlignment="1" applyProtection="1">
      <alignment horizontal="left"/>
    </xf>
    <xf numFmtId="169" fontId="3" fillId="3" borderId="10" xfId="0" applyNumberFormat="1" applyFont="1" applyFill="1" applyBorder="1" applyAlignment="1" applyProtection="1">
      <alignment horizontal="right"/>
    </xf>
    <xf numFmtId="169" fontId="3" fillId="3" borderId="33" xfId="1" applyNumberFormat="1" applyFont="1" applyFill="1" applyBorder="1" applyAlignment="1" applyProtection="1">
      <alignment horizontal="right"/>
    </xf>
    <xf numFmtId="167" fontId="3" fillId="3" borderId="125" xfId="0" applyNumberFormat="1" applyFont="1" applyFill="1" applyBorder="1" applyAlignment="1" applyProtection="1">
      <alignment horizontal="right"/>
    </xf>
    <xf numFmtId="165" fontId="3" fillId="3" borderId="125" xfId="1" applyNumberFormat="1" applyFont="1" applyFill="1" applyBorder="1" applyAlignment="1" applyProtection="1">
      <alignment horizontal="right"/>
    </xf>
    <xf numFmtId="169" fontId="3" fillId="3" borderId="125" xfId="1" applyNumberFormat="1" applyFont="1" applyFill="1" applyBorder="1" applyAlignment="1" applyProtection="1">
      <alignment horizontal="right"/>
    </xf>
    <xf numFmtId="164" fontId="3" fillId="4" borderId="62" xfId="0" applyNumberFormat="1" applyFont="1" applyFill="1" applyBorder="1" applyAlignment="1" applyProtection="1">
      <alignment horizontal="left"/>
    </xf>
    <xf numFmtId="3" fontId="3" fillId="3" borderId="10" xfId="0" applyNumberFormat="1" applyFont="1" applyFill="1" applyBorder="1" applyAlignment="1" applyProtection="1">
      <alignment horizontal="right"/>
    </xf>
    <xf numFmtId="164" fontId="3" fillId="3" borderId="21" xfId="0" applyFont="1" applyFill="1" applyBorder="1" applyAlignment="1" applyProtection="1">
      <alignment horizontal="left"/>
    </xf>
    <xf numFmtId="167" fontId="3" fillId="3" borderId="16" xfId="0" applyNumberFormat="1" applyFont="1" applyFill="1" applyBorder="1" applyAlignment="1" applyProtection="1">
      <alignment horizontal="right"/>
    </xf>
    <xf numFmtId="165" fontId="3" fillId="3" borderId="16" xfId="0" applyNumberFormat="1" applyFont="1" applyFill="1" applyBorder="1" applyAlignment="1" applyProtection="1">
      <alignment horizontal="right"/>
    </xf>
    <xf numFmtId="169" fontId="3" fillId="3" borderId="14" xfId="0" applyNumberFormat="1" applyFont="1" applyFill="1" applyBorder="1" applyAlignment="1">
      <alignment horizontal="right"/>
    </xf>
    <xf numFmtId="169" fontId="3" fillId="3" borderId="15" xfId="0" applyNumberFormat="1" applyFont="1" applyFill="1" applyBorder="1" applyAlignment="1">
      <alignment horizontal="right"/>
    </xf>
    <xf numFmtId="165" fontId="3" fillId="3" borderId="13" xfId="1" applyNumberFormat="1" applyFont="1" applyFill="1" applyBorder="1" applyAlignment="1">
      <alignment horizontal="right"/>
    </xf>
    <xf numFmtId="0" fontId="3" fillId="3" borderId="62" xfId="0" applyNumberFormat="1" applyFont="1" applyFill="1" applyBorder="1"/>
    <xf numFmtId="164" fontId="4" fillId="3" borderId="0" xfId="0" applyNumberFormat="1" applyFont="1" applyFill="1" applyBorder="1" applyAlignment="1" applyProtection="1">
      <alignment horizontal="left"/>
    </xf>
    <xf numFmtId="167" fontId="4" fillId="3" borderId="0" xfId="0" applyNumberFormat="1" applyFont="1" applyFill="1" applyBorder="1" applyAlignment="1" applyProtection="1">
      <alignment horizontal="right"/>
    </xf>
    <xf numFmtId="3" fontId="4" fillId="3" borderId="0" xfId="0" applyNumberFormat="1" applyFont="1" applyFill="1" applyBorder="1" applyAlignment="1" applyProtection="1">
      <alignment horizontal="right"/>
    </xf>
    <xf numFmtId="169" fontId="4" fillId="3" borderId="0" xfId="0" applyNumberFormat="1" applyFont="1" applyFill="1" applyBorder="1" applyAlignment="1" applyProtection="1">
      <alignment horizontal="right"/>
    </xf>
    <xf numFmtId="165" fontId="4" fillId="3" borderId="0" xfId="1" applyNumberFormat="1" applyFont="1" applyFill="1" applyBorder="1" applyAlignment="1" applyProtection="1">
      <alignment horizontal="right"/>
    </xf>
    <xf numFmtId="169" fontId="4" fillId="3" borderId="0" xfId="1" applyNumberFormat="1" applyFont="1" applyFill="1" applyBorder="1" applyAlignment="1" applyProtection="1">
      <alignment horizontal="right"/>
    </xf>
    <xf numFmtId="167" fontId="3" fillId="3" borderId="4" xfId="0" applyNumberFormat="1" applyFont="1" applyFill="1" applyBorder="1" applyProtection="1"/>
    <xf numFmtId="3" fontId="3" fillId="3" borderId="4" xfId="0" applyNumberFormat="1" applyFont="1" applyFill="1" applyBorder="1" applyProtection="1"/>
    <xf numFmtId="169" fontId="3" fillId="3" borderId="4" xfId="0" applyNumberFormat="1" applyFont="1" applyFill="1" applyBorder="1" applyProtection="1"/>
    <xf numFmtId="169" fontId="3" fillId="3" borderId="4" xfId="0" applyNumberFormat="1" applyFont="1" applyFill="1" applyBorder="1"/>
    <xf numFmtId="169" fontId="3" fillId="3" borderId="80" xfId="0" applyNumberFormat="1" applyFont="1" applyFill="1" applyBorder="1"/>
    <xf numFmtId="165" fontId="3" fillId="3" borderId="4" xfId="1" applyNumberFormat="1" applyFont="1" applyFill="1" applyBorder="1"/>
    <xf numFmtId="165" fontId="3" fillId="3" borderId="4" xfId="1" applyNumberFormat="1" applyFont="1" applyFill="1" applyBorder="1" applyProtection="1"/>
    <xf numFmtId="169" fontId="3" fillId="3" borderId="4" xfId="1" applyNumberFormat="1" applyFont="1" applyFill="1" applyBorder="1" applyProtection="1"/>
    <xf numFmtId="169" fontId="3" fillId="3" borderId="47" xfId="0" applyNumberFormat="1" applyFont="1" applyFill="1" applyBorder="1" applyProtection="1"/>
    <xf numFmtId="167" fontId="3" fillId="3" borderId="35" xfId="0" applyNumberFormat="1" applyFont="1" applyFill="1" applyBorder="1" applyProtection="1"/>
    <xf numFmtId="3" fontId="3" fillId="3" borderId="35" xfId="0" applyNumberFormat="1" applyFont="1" applyFill="1" applyBorder="1" applyProtection="1"/>
    <xf numFmtId="169" fontId="3" fillId="3" borderId="35" xfId="0" applyNumberFormat="1" applyFont="1" applyFill="1" applyBorder="1" applyProtection="1"/>
    <xf numFmtId="169" fontId="3" fillId="3" borderId="35" xfId="0" applyNumberFormat="1" applyFont="1" applyFill="1" applyBorder="1"/>
    <xf numFmtId="169" fontId="3" fillId="3" borderId="81" xfId="0" applyNumberFormat="1" applyFont="1" applyFill="1" applyBorder="1"/>
    <xf numFmtId="165" fontId="3" fillId="3" borderId="35" xfId="1" applyNumberFormat="1" applyFont="1" applyFill="1" applyBorder="1"/>
    <xf numFmtId="165" fontId="3" fillId="3" borderId="35" xfId="1" applyNumberFormat="1" applyFont="1" applyFill="1" applyBorder="1" applyProtection="1"/>
    <xf numFmtId="169" fontId="3" fillId="3" borderId="35" xfId="1" applyNumberFormat="1" applyFont="1" applyFill="1" applyBorder="1" applyProtection="1"/>
    <xf numFmtId="164" fontId="3" fillId="3" borderId="47" xfId="0" applyFont="1" applyFill="1" applyBorder="1"/>
    <xf numFmtId="167" fontId="3" fillId="3" borderId="47" xfId="0" applyNumberFormat="1" applyFont="1" applyFill="1" applyBorder="1" applyProtection="1"/>
    <xf numFmtId="3" fontId="3" fillId="3" borderId="47" xfId="0" applyNumberFormat="1" applyFont="1" applyFill="1" applyBorder="1" applyProtection="1"/>
    <xf numFmtId="169" fontId="3" fillId="3" borderId="47" xfId="0" applyNumberFormat="1" applyFont="1" applyFill="1" applyBorder="1"/>
    <xf numFmtId="165" fontId="3" fillId="3" borderId="47" xfId="1" applyNumberFormat="1" applyFont="1" applyFill="1" applyBorder="1"/>
    <xf numFmtId="165" fontId="3" fillId="3" borderId="47" xfId="1" applyNumberFormat="1" applyFont="1" applyFill="1" applyBorder="1" applyProtection="1"/>
    <xf numFmtId="169" fontId="3" fillId="3" borderId="47" xfId="1" applyNumberFormat="1" applyFont="1" applyFill="1" applyBorder="1" applyProtection="1"/>
    <xf numFmtId="164" fontId="3" fillId="3" borderId="21" xfId="0" applyFont="1" applyFill="1" applyBorder="1"/>
    <xf numFmtId="164" fontId="3" fillId="3" borderId="20" xfId="0" applyFont="1" applyFill="1" applyBorder="1"/>
    <xf numFmtId="167" fontId="3" fillId="3" borderId="20" xfId="0" applyNumberFormat="1" applyFont="1" applyFill="1" applyBorder="1" applyProtection="1"/>
    <xf numFmtId="3" fontId="3" fillId="3" borderId="20" xfId="0" applyNumberFormat="1" applyFont="1" applyFill="1" applyBorder="1" applyProtection="1"/>
    <xf numFmtId="169" fontId="3" fillId="3" borderId="20" xfId="0" applyNumberFormat="1" applyFont="1" applyFill="1" applyBorder="1" applyProtection="1"/>
    <xf numFmtId="169" fontId="3" fillId="3" borderId="20" xfId="0" applyNumberFormat="1" applyFont="1" applyFill="1" applyBorder="1"/>
    <xf numFmtId="169" fontId="3" fillId="3" borderId="19" xfId="0" applyNumberFormat="1" applyFont="1" applyFill="1" applyBorder="1"/>
    <xf numFmtId="165" fontId="3" fillId="3" borderId="20" xfId="1" applyNumberFormat="1" applyFont="1" applyFill="1" applyBorder="1" applyProtection="1"/>
    <xf numFmtId="169" fontId="3" fillId="3" borderId="20" xfId="1" applyNumberFormat="1" applyFont="1" applyFill="1" applyBorder="1" applyProtection="1"/>
    <xf numFmtId="164" fontId="3" fillId="3" borderId="18" xfId="0" applyFont="1" applyFill="1" applyBorder="1"/>
    <xf numFmtId="167" fontId="3" fillId="3" borderId="17" xfId="0" applyNumberFormat="1" applyFont="1" applyFill="1" applyBorder="1" applyProtection="1"/>
    <xf numFmtId="3" fontId="3" fillId="3" borderId="17" xfId="0" applyNumberFormat="1" applyFont="1" applyFill="1" applyBorder="1" applyProtection="1"/>
    <xf numFmtId="169" fontId="3" fillId="3" borderId="17" xfId="0" applyNumberFormat="1" applyFont="1" applyFill="1" applyBorder="1" applyProtection="1"/>
    <xf numFmtId="169" fontId="3" fillId="3" borderId="17" xfId="0" applyNumberFormat="1" applyFont="1" applyFill="1" applyBorder="1"/>
    <xf numFmtId="165" fontId="3" fillId="3" borderId="17" xfId="1" applyNumberFormat="1" applyFont="1" applyFill="1" applyBorder="1" applyProtection="1"/>
    <xf numFmtId="169" fontId="3" fillId="3" borderId="17" xfId="1" applyNumberFormat="1" applyFont="1" applyFill="1" applyBorder="1" applyProtection="1"/>
    <xf numFmtId="164" fontId="4" fillId="3" borderId="20" xfId="0" applyFont="1" applyFill="1" applyBorder="1"/>
    <xf numFmtId="164" fontId="3" fillId="3" borderId="126" xfId="0" applyNumberFormat="1" applyFont="1" applyFill="1" applyBorder="1" applyAlignment="1" applyProtection="1">
      <alignment horizontal="left"/>
    </xf>
    <xf numFmtId="164" fontId="3" fillId="3" borderId="127" xfId="0" applyNumberFormat="1" applyFont="1" applyFill="1" applyBorder="1" applyAlignment="1" applyProtection="1">
      <alignment horizontal="left"/>
    </xf>
    <xf numFmtId="167" fontId="3" fillId="3" borderId="128" xfId="0" applyNumberFormat="1" applyFont="1" applyFill="1" applyBorder="1" applyAlignment="1" applyProtection="1">
      <alignment horizontal="right"/>
    </xf>
    <xf numFmtId="3" fontId="3" fillId="3" borderId="128" xfId="0" applyNumberFormat="1" applyFont="1" applyFill="1" applyBorder="1" applyAlignment="1" applyProtection="1">
      <alignment horizontal="right"/>
    </xf>
    <xf numFmtId="169" fontId="3" fillId="3" borderId="128" xfId="0" applyNumberFormat="1" applyFont="1" applyFill="1" applyBorder="1" applyAlignment="1" applyProtection="1">
      <alignment horizontal="right"/>
    </xf>
    <xf numFmtId="169" fontId="3" fillId="3" borderId="128" xfId="0" applyNumberFormat="1" applyFont="1" applyFill="1" applyBorder="1" applyAlignment="1">
      <alignment horizontal="right"/>
    </xf>
    <xf numFmtId="169" fontId="3" fillId="3" borderId="129" xfId="0" applyNumberFormat="1" applyFont="1" applyFill="1" applyBorder="1" applyAlignment="1">
      <alignment horizontal="right"/>
    </xf>
    <xf numFmtId="164" fontId="3" fillId="3" borderId="44" xfId="0" quotePrefix="1" applyNumberFormat="1" applyFont="1" applyFill="1" applyBorder="1" applyAlignment="1" applyProtection="1">
      <alignment horizontal="left"/>
    </xf>
    <xf numFmtId="164" fontId="3" fillId="4" borderId="99" xfId="0" quotePrefix="1" applyNumberFormat="1" applyFont="1" applyFill="1" applyBorder="1" applyAlignment="1" applyProtection="1">
      <alignment horizontal="left"/>
    </xf>
    <xf numFmtId="167" fontId="3" fillId="3" borderId="48" xfId="0" applyNumberFormat="1" applyFont="1" applyFill="1" applyBorder="1" applyAlignment="1" applyProtection="1">
      <alignment horizontal="right"/>
    </xf>
    <xf numFmtId="167" fontId="3" fillId="3" borderId="130" xfId="0" applyNumberFormat="1" applyFont="1" applyFill="1" applyBorder="1" applyAlignment="1" applyProtection="1">
      <alignment horizontal="right"/>
    </xf>
    <xf numFmtId="3" fontId="3" fillId="3" borderId="130" xfId="0" applyNumberFormat="1" applyFont="1" applyFill="1" applyBorder="1" applyAlignment="1" applyProtection="1">
      <alignment horizontal="right"/>
    </xf>
    <xf numFmtId="167" fontId="3" fillId="3" borderId="51" xfId="0" applyNumberFormat="1" applyFont="1" applyFill="1" applyBorder="1" applyAlignment="1" applyProtection="1">
      <alignment horizontal="right"/>
    </xf>
    <xf numFmtId="167" fontId="3" fillId="3" borderId="131" xfId="0" applyNumberFormat="1" applyFont="1" applyFill="1" applyBorder="1" applyAlignment="1" applyProtection="1">
      <alignment horizontal="right"/>
    </xf>
    <xf numFmtId="3" fontId="3" fillId="3" borderId="131" xfId="0" applyNumberFormat="1" applyFont="1" applyFill="1" applyBorder="1" applyAlignment="1" applyProtection="1">
      <alignment horizontal="right"/>
    </xf>
    <xf numFmtId="167" fontId="3" fillId="3" borderId="27" xfId="0" applyNumberFormat="1" applyFont="1" applyFill="1" applyBorder="1" applyAlignment="1" applyProtection="1">
      <alignment horizontal="right"/>
    </xf>
    <xf numFmtId="3" fontId="3" fillId="3" borderId="27" xfId="0" applyNumberFormat="1" applyFont="1" applyFill="1" applyBorder="1" applyAlignment="1" applyProtection="1">
      <alignment horizontal="right"/>
    </xf>
    <xf numFmtId="165" fontId="3" fillId="3" borderId="16" xfId="1" applyNumberFormat="1" applyFont="1" applyFill="1" applyBorder="1" applyAlignment="1" applyProtection="1">
      <alignment horizontal="right"/>
    </xf>
    <xf numFmtId="169" fontId="3" fillId="3" borderId="16" xfId="1" applyNumberFormat="1" applyFont="1" applyFill="1" applyBorder="1" applyAlignment="1" applyProtection="1">
      <alignment horizontal="right"/>
    </xf>
    <xf numFmtId="164" fontId="3" fillId="3" borderId="49" xfId="0" applyNumberFormat="1" applyFont="1" applyFill="1" applyBorder="1" applyAlignment="1" applyProtection="1">
      <alignment horizontal="left"/>
    </xf>
    <xf numFmtId="169" fontId="3" fillId="3" borderId="112" xfId="0" applyNumberFormat="1" applyFont="1" applyFill="1" applyBorder="1" applyAlignment="1" applyProtection="1">
      <alignment horizontal="right"/>
    </xf>
    <xf numFmtId="164" fontId="3" fillId="3" borderId="56" xfId="0" applyNumberFormat="1" applyFont="1" applyFill="1" applyBorder="1" applyAlignment="1" applyProtection="1">
      <alignment horizontal="left"/>
    </xf>
    <xf numFmtId="169" fontId="3" fillId="3" borderId="132" xfId="0" applyNumberFormat="1" applyFont="1" applyFill="1" applyBorder="1" applyAlignment="1" applyProtection="1">
      <alignment horizontal="right"/>
    </xf>
    <xf numFmtId="167" fontId="4" fillId="3" borderId="95" xfId="0" applyNumberFormat="1" applyFont="1" applyFill="1" applyBorder="1" applyAlignment="1" applyProtection="1">
      <alignment horizontal="right"/>
    </xf>
    <xf numFmtId="3" fontId="3" fillId="3" borderId="107" xfId="0" applyNumberFormat="1" applyFont="1" applyFill="1" applyBorder="1" applyAlignment="1" applyProtection="1">
      <alignment horizontal="right"/>
    </xf>
    <xf numFmtId="169" fontId="3" fillId="3" borderId="107" xfId="0" applyNumberFormat="1" applyFont="1" applyFill="1" applyBorder="1" applyAlignment="1" applyProtection="1">
      <alignment horizontal="right"/>
    </xf>
    <xf numFmtId="169" fontId="3" fillId="3" borderId="133" xfId="0" applyNumberFormat="1" applyFont="1" applyFill="1" applyBorder="1" applyAlignment="1" applyProtection="1">
      <alignment horizontal="right"/>
    </xf>
    <xf numFmtId="165" fontId="3" fillId="3" borderId="79" xfId="1" applyNumberFormat="1" applyFont="1" applyFill="1" applyBorder="1" applyAlignment="1" applyProtection="1">
      <alignment horizontal="right"/>
    </xf>
    <xf numFmtId="165" fontId="3" fillId="3" borderId="107" xfId="0" applyNumberFormat="1" applyFont="1" applyFill="1" applyBorder="1" applyAlignment="1" applyProtection="1">
      <alignment horizontal="right"/>
    </xf>
    <xf numFmtId="169" fontId="3" fillId="3" borderId="109" xfId="0" applyNumberFormat="1" applyFont="1" applyFill="1" applyBorder="1" applyAlignment="1" applyProtection="1">
      <alignment horizontal="right"/>
    </xf>
    <xf numFmtId="165" fontId="3" fillId="3" borderId="95" xfId="0" applyNumberFormat="1" applyFont="1" applyFill="1" applyBorder="1" applyAlignment="1" applyProtection="1">
      <alignment horizontal="right"/>
    </xf>
    <xf numFmtId="3" fontId="3" fillId="3" borderId="53" xfId="0" applyNumberFormat="1" applyFont="1" applyFill="1" applyBorder="1" applyAlignment="1" applyProtection="1">
      <alignment horizontal="right"/>
    </xf>
    <xf numFmtId="169" fontId="3" fillId="3" borderId="134" xfId="0" applyNumberFormat="1" applyFont="1" applyFill="1" applyBorder="1" applyAlignment="1" applyProtection="1">
      <alignment horizontal="right"/>
    </xf>
    <xf numFmtId="165" fontId="3" fillId="3" borderId="62" xfId="1" applyNumberFormat="1" applyFont="1" applyFill="1" applyBorder="1" applyAlignment="1" applyProtection="1">
      <alignment horizontal="right"/>
    </xf>
    <xf numFmtId="165" fontId="3" fillId="3" borderId="53" xfId="0" applyNumberFormat="1" applyFont="1" applyFill="1" applyBorder="1" applyAlignment="1" applyProtection="1">
      <alignment horizontal="right"/>
    </xf>
    <xf numFmtId="164" fontId="3" fillId="2" borderId="17" xfId="0" applyFont="1" applyFill="1" applyBorder="1"/>
    <xf numFmtId="167" fontId="3" fillId="2" borderId="21" xfId="0" applyNumberFormat="1" applyFont="1" applyFill="1" applyBorder="1" applyAlignment="1" applyProtection="1">
      <alignment horizontal="right"/>
    </xf>
    <xf numFmtId="3" fontId="3" fillId="2" borderId="21" xfId="0" applyNumberFormat="1" applyFont="1" applyFill="1" applyBorder="1" applyAlignment="1" applyProtection="1">
      <alignment horizontal="right"/>
    </xf>
    <xf numFmtId="169" fontId="3" fillId="2" borderId="21" xfId="0" applyNumberFormat="1" applyFont="1" applyFill="1" applyBorder="1" applyAlignment="1" applyProtection="1">
      <alignment horizontal="right"/>
    </xf>
    <xf numFmtId="169" fontId="3" fillId="3" borderId="21" xfId="0" applyNumberFormat="1" applyFont="1" applyFill="1" applyBorder="1" applyAlignment="1">
      <alignment horizontal="right"/>
    </xf>
    <xf numFmtId="169" fontId="3" fillId="3" borderId="19" xfId="0" applyNumberFormat="1" applyFont="1" applyFill="1" applyBorder="1" applyAlignment="1">
      <alignment horizontal="right"/>
    </xf>
    <xf numFmtId="165" fontId="3" fillId="2" borderId="17" xfId="1" applyNumberFormat="1" applyFont="1" applyFill="1" applyBorder="1" applyAlignment="1" applyProtection="1">
      <alignment horizontal="right"/>
    </xf>
    <xf numFmtId="165" fontId="3" fillId="2" borderId="21" xfId="1" applyNumberFormat="1" applyFont="1" applyFill="1" applyBorder="1" applyAlignment="1" applyProtection="1">
      <alignment horizontal="right"/>
    </xf>
    <xf numFmtId="169" fontId="3" fillId="2" borderId="21" xfId="1" applyNumberFormat="1" applyFont="1" applyFill="1" applyBorder="1" applyAlignment="1" applyProtection="1">
      <alignment horizontal="right"/>
    </xf>
    <xf numFmtId="164" fontId="3" fillId="2" borderId="23" xfId="0" applyFont="1" applyFill="1" applyBorder="1"/>
    <xf numFmtId="167" fontId="3" fillId="2" borderId="23" xfId="0" applyNumberFormat="1" applyFont="1" applyFill="1" applyBorder="1" applyAlignment="1" applyProtection="1">
      <alignment horizontal="right"/>
    </xf>
    <xf numFmtId="3" fontId="3" fillId="2" borderId="23" xfId="0" applyNumberFormat="1" applyFont="1" applyFill="1" applyBorder="1" applyAlignment="1" applyProtection="1">
      <alignment horizontal="right"/>
    </xf>
    <xf numFmtId="169" fontId="3" fillId="2" borderId="23" xfId="0" applyNumberFormat="1" applyFont="1" applyFill="1" applyBorder="1" applyAlignment="1" applyProtection="1">
      <alignment horizontal="right"/>
    </xf>
    <xf numFmtId="169" fontId="3" fillId="3" borderId="23" xfId="0" applyNumberFormat="1" applyFont="1" applyFill="1" applyBorder="1" applyAlignment="1">
      <alignment horizontal="right"/>
    </xf>
    <xf numFmtId="165" fontId="3" fillId="2" borderId="23" xfId="1" applyNumberFormat="1" applyFont="1" applyFill="1" applyBorder="1" applyAlignment="1" applyProtection="1">
      <alignment horizontal="right"/>
    </xf>
    <xf numFmtId="169" fontId="3" fillId="2" borderId="23" xfId="1" applyNumberFormat="1" applyFont="1" applyFill="1" applyBorder="1" applyAlignment="1" applyProtection="1">
      <alignment horizontal="right"/>
    </xf>
    <xf numFmtId="169" fontId="3" fillId="3" borderId="94" xfId="0" applyNumberFormat="1" applyFont="1" applyFill="1" applyBorder="1" applyAlignment="1">
      <alignment horizontal="right"/>
    </xf>
    <xf numFmtId="167" fontId="3" fillId="3" borderId="3" xfId="0" applyNumberFormat="1" applyFont="1" applyFill="1" applyBorder="1" applyAlignment="1" applyProtection="1">
      <alignment horizontal="centerContinuous"/>
    </xf>
    <xf numFmtId="167" fontId="3" fillId="3" borderId="1" xfId="0" applyNumberFormat="1" applyFont="1" applyFill="1" applyBorder="1" applyAlignment="1" applyProtection="1">
      <alignment horizontal="centerContinuous"/>
    </xf>
    <xf numFmtId="2" fontId="3" fillId="0" borderId="0" xfId="0" applyNumberFormat="1" applyFont="1" applyAlignment="1">
      <alignment wrapText="1"/>
    </xf>
    <xf numFmtId="164" fontId="3" fillId="0" borderId="0" xfId="0" applyFont="1" applyFill="1"/>
    <xf numFmtId="164" fontId="4" fillId="0" borderId="0" xfId="0" quotePrefix="1" applyNumberFormat="1" applyFont="1" applyFill="1" applyAlignment="1" applyProtection="1">
      <alignment horizontal="left"/>
    </xf>
    <xf numFmtId="167" fontId="3" fillId="0" borderId="0" xfId="0" applyNumberFormat="1" applyFont="1" applyFill="1" applyAlignment="1" applyProtection="1">
      <alignment horizontal="center"/>
    </xf>
    <xf numFmtId="167" fontId="3" fillId="0" borderId="0" xfId="0" applyNumberFormat="1" applyFont="1" applyFill="1" applyAlignment="1" applyProtection="1">
      <alignment horizontal="left"/>
    </xf>
    <xf numFmtId="167" fontId="3" fillId="0" borderId="0" xfId="0" applyNumberFormat="1" applyFont="1" applyFill="1" applyProtection="1"/>
    <xf numFmtId="3" fontId="3" fillId="0" borderId="0" xfId="0" applyNumberFormat="1" applyFont="1" applyFill="1" applyProtection="1"/>
    <xf numFmtId="169" fontId="3" fillId="0" borderId="0" xfId="0" applyNumberFormat="1" applyFont="1" applyFill="1" applyProtection="1"/>
    <xf numFmtId="169" fontId="3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" fontId="3" fillId="0" borderId="0" xfId="1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/>
    <xf numFmtId="164" fontId="3" fillId="0" borderId="0" xfId="0" quotePrefix="1" applyNumberFormat="1" applyFont="1" applyFill="1" applyAlignment="1" applyProtection="1">
      <alignment horizontal="justify"/>
    </xf>
    <xf numFmtId="164" fontId="3" fillId="0" borderId="0" xfId="0" applyNumberFormat="1" applyFont="1" applyFill="1" applyAlignment="1" applyProtection="1">
      <alignment horizontal="justify"/>
    </xf>
    <xf numFmtId="1" fontId="3" fillId="0" borderId="0" xfId="0" applyNumberFormat="1" applyFont="1" applyFill="1"/>
    <xf numFmtId="164" fontId="3" fillId="0" borderId="0" xfId="0" applyFont="1" applyFill="1" applyAlignment="1">
      <alignment horizontal="justify"/>
    </xf>
    <xf numFmtId="2" fontId="3" fillId="0" borderId="0" xfId="0" applyNumberFormat="1" applyFont="1" applyFill="1" applyProtection="1"/>
    <xf numFmtId="1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 applyProtection="1">
      <alignment horizontal="justify"/>
    </xf>
    <xf numFmtId="169" fontId="3" fillId="0" borderId="0" xfId="1" applyNumberFormat="1" applyFont="1" applyFill="1" applyProtection="1"/>
    <xf numFmtId="168" fontId="3" fillId="0" borderId="0" xfId="1" applyNumberFormat="1" applyFont="1" applyFill="1" applyProtection="1"/>
    <xf numFmtId="168" fontId="3" fillId="0" borderId="0" xfId="0" applyNumberFormat="1" applyFont="1" applyFill="1"/>
    <xf numFmtId="167" fontId="3" fillId="0" borderId="0" xfId="0" applyNumberFormat="1" applyFont="1" applyFill="1"/>
    <xf numFmtId="169" fontId="3" fillId="0" borderId="10" xfId="1" applyNumberFormat="1" applyFont="1" applyFill="1" applyBorder="1" applyAlignment="1" applyProtection="1">
      <alignment horizontal="right"/>
    </xf>
    <xf numFmtId="164" fontId="0" fillId="3" borderId="0" xfId="0" applyNumberFormat="1" applyFill="1" applyBorder="1" applyAlignment="1" applyProtection="1">
      <alignment horizontal="left"/>
    </xf>
    <xf numFmtId="4" fontId="0" fillId="3" borderId="29" xfId="0" applyNumberFormat="1" applyFill="1" applyBorder="1" applyAlignment="1" applyProtection="1">
      <alignment horizontal="right"/>
    </xf>
    <xf numFmtId="3" fontId="0" fillId="3" borderId="29" xfId="0" applyNumberFormat="1" applyFill="1" applyBorder="1" applyAlignment="1" applyProtection="1">
      <alignment horizontal="right"/>
    </xf>
    <xf numFmtId="169" fontId="0" fillId="3" borderId="29" xfId="0" applyNumberFormat="1" applyFill="1" applyBorder="1" applyAlignment="1" applyProtection="1">
      <alignment horizontal="right"/>
    </xf>
    <xf numFmtId="169" fontId="0" fillId="3" borderId="33" xfId="0" applyNumberFormat="1" applyFill="1" applyBorder="1" applyAlignment="1" applyProtection="1">
      <alignment horizontal="right"/>
    </xf>
    <xf numFmtId="169" fontId="0" fillId="3" borderId="98" xfId="0" applyNumberFormat="1" applyFill="1" applyBorder="1" applyAlignment="1" applyProtection="1">
      <alignment horizontal="right"/>
    </xf>
    <xf numFmtId="164" fontId="0" fillId="3" borderId="6" xfId="0" applyNumberFormat="1" applyFill="1" applyBorder="1" applyAlignment="1" applyProtection="1">
      <alignment horizontal="left"/>
    </xf>
    <xf numFmtId="4" fontId="0" fillId="3" borderId="7" xfId="0" applyNumberFormat="1" applyFill="1" applyBorder="1" applyAlignment="1" applyProtection="1">
      <alignment horizontal="right"/>
    </xf>
    <xf numFmtId="3" fontId="0" fillId="3" borderId="7" xfId="0" applyNumberFormat="1" applyFill="1" applyBorder="1" applyAlignment="1" applyProtection="1">
      <alignment horizontal="right"/>
    </xf>
    <xf numFmtId="169" fontId="0" fillId="3" borderId="7" xfId="0" applyNumberFormat="1" applyFill="1" applyBorder="1" applyAlignment="1" applyProtection="1">
      <alignment horizontal="right"/>
    </xf>
    <xf numFmtId="169" fontId="0" fillId="3" borderId="8" xfId="0" applyNumberFormat="1" applyFill="1" applyBorder="1" applyAlignment="1" applyProtection="1">
      <alignment horizontal="right"/>
    </xf>
    <xf numFmtId="4" fontId="0" fillId="3" borderId="33" xfId="0" applyNumberFormat="1" applyFill="1" applyBorder="1" applyAlignment="1" applyProtection="1">
      <alignment horizontal="right"/>
    </xf>
    <xf numFmtId="3" fontId="0" fillId="3" borderId="33" xfId="0" applyNumberFormat="1" applyFill="1" applyBorder="1" applyAlignment="1" applyProtection="1">
      <alignment horizontal="right"/>
    </xf>
    <xf numFmtId="169" fontId="0" fillId="3" borderId="88" xfId="0" applyNumberFormat="1" applyFill="1" applyBorder="1" applyAlignment="1" applyProtection="1">
      <alignment horizontal="right"/>
    </xf>
    <xf numFmtId="164" fontId="0" fillId="3" borderId="48" xfId="0" applyFill="1" applyBorder="1"/>
    <xf numFmtId="164" fontId="0" fillId="3" borderId="66" xfId="0" applyFill="1" applyBorder="1"/>
    <xf numFmtId="165" fontId="0" fillId="3" borderId="48" xfId="1" applyNumberFormat="1" applyFont="1" applyFill="1" applyBorder="1" applyAlignment="1">
      <alignment horizontal="right"/>
    </xf>
    <xf numFmtId="165" fontId="0" fillId="3" borderId="29" xfId="1" applyNumberFormat="1" applyFont="1" applyFill="1" applyBorder="1" applyAlignment="1" applyProtection="1">
      <alignment horizontal="right"/>
    </xf>
    <xf numFmtId="169" fontId="0" fillId="3" borderId="67" xfId="1" applyNumberFormat="1" applyFont="1" applyFill="1" applyBorder="1" applyAlignment="1" applyProtection="1">
      <alignment horizontal="right"/>
    </xf>
    <xf numFmtId="165" fontId="0" fillId="3" borderId="9" xfId="1" applyNumberFormat="1" applyFont="1" applyFill="1" applyBorder="1" applyAlignment="1" applyProtection="1">
      <alignment horizontal="right"/>
    </xf>
    <xf numFmtId="165" fontId="0" fillId="3" borderId="7" xfId="1" applyNumberFormat="1" applyFont="1" applyFill="1" applyBorder="1" applyAlignment="1" applyProtection="1">
      <alignment horizontal="right"/>
    </xf>
    <xf numFmtId="169" fontId="0" fillId="3" borderId="52" xfId="1" applyNumberFormat="1" applyFont="1" applyFill="1" applyBorder="1" applyAlignment="1" applyProtection="1">
      <alignment horizontal="right"/>
    </xf>
    <xf numFmtId="169" fontId="0" fillId="3" borderId="7" xfId="1" applyNumberFormat="1" applyFont="1" applyFill="1" applyBorder="1" applyAlignment="1" applyProtection="1">
      <alignment horizontal="right"/>
    </xf>
    <xf numFmtId="165" fontId="0" fillId="3" borderId="48" xfId="1" applyNumberFormat="1" applyFont="1" applyFill="1" applyBorder="1" applyAlignment="1" applyProtection="1">
      <alignment horizontal="right"/>
    </xf>
    <xf numFmtId="165" fontId="0" fillId="3" borderId="33" xfId="1" applyNumberFormat="1" applyFont="1" applyFill="1" applyBorder="1" applyAlignment="1" applyProtection="1">
      <alignment horizontal="right"/>
    </xf>
    <xf numFmtId="169" fontId="0" fillId="3" borderId="10" xfId="1" applyNumberFormat="1" applyFont="1" applyFill="1" applyBorder="1" applyAlignment="1" applyProtection="1">
      <alignment horizontal="right"/>
    </xf>
    <xf numFmtId="165" fontId="0" fillId="3" borderId="66" xfId="1" applyNumberFormat="1" applyFont="1" applyFill="1" applyBorder="1" applyAlignment="1" applyProtection="1">
      <alignment horizontal="right"/>
    </xf>
    <xf numFmtId="169" fontId="0" fillId="3" borderId="33" xfId="1" applyNumberFormat="1" applyFont="1" applyFill="1" applyBorder="1" applyAlignment="1" applyProtection="1">
      <alignment horizontal="right"/>
    </xf>
    <xf numFmtId="165" fontId="0" fillId="3" borderId="96" xfId="1" applyNumberFormat="1" applyFont="1" applyFill="1" applyBorder="1" applyAlignment="1" applyProtection="1">
      <alignment horizontal="right"/>
    </xf>
    <xf numFmtId="165" fontId="3" fillId="0" borderId="4" xfId="1" applyNumberFormat="1" applyFont="1" applyFill="1" applyBorder="1" applyAlignment="1" applyProtection="1">
      <alignment horizontal="right"/>
    </xf>
    <xf numFmtId="164" fontId="3" fillId="0" borderId="0" xfId="0" applyFont="1" applyFill="1" applyBorder="1"/>
    <xf numFmtId="165" fontId="3" fillId="0" borderId="35" xfId="1" applyNumberFormat="1" applyFont="1" applyFill="1" applyBorder="1" applyAlignment="1" applyProtection="1">
      <alignment horizontal="right"/>
    </xf>
    <xf numFmtId="165" fontId="3" fillId="0" borderId="47" xfId="1" applyNumberFormat="1" applyFont="1" applyFill="1" applyBorder="1" applyAlignment="1">
      <alignment horizontal="right"/>
    </xf>
    <xf numFmtId="167" fontId="3" fillId="0" borderId="74" xfId="0" applyNumberFormat="1" applyFont="1" applyFill="1" applyBorder="1" applyAlignment="1" applyProtection="1">
      <alignment horizontal="right"/>
    </xf>
    <xf numFmtId="167" fontId="3" fillId="0" borderId="33" xfId="0" applyNumberFormat="1" applyFont="1" applyFill="1" applyBorder="1" applyAlignment="1" applyProtection="1">
      <alignment horizontal="right"/>
    </xf>
    <xf numFmtId="3" fontId="3" fillId="0" borderId="74" xfId="0" applyNumberFormat="1" applyFont="1" applyFill="1" applyBorder="1" applyAlignment="1" applyProtection="1">
      <alignment horizontal="right"/>
    </xf>
    <xf numFmtId="169" fontId="3" fillId="0" borderId="29" xfId="0" applyNumberFormat="1" applyFont="1" applyFill="1" applyBorder="1" applyAlignment="1" applyProtection="1">
      <alignment horizontal="right"/>
    </xf>
    <xf numFmtId="169" fontId="3" fillId="0" borderId="74" xfId="0" applyNumberFormat="1" applyFont="1" applyFill="1" applyBorder="1" applyAlignment="1" applyProtection="1">
      <alignment horizontal="right"/>
    </xf>
    <xf numFmtId="169" fontId="3" fillId="0" borderId="75" xfId="0" applyNumberFormat="1" applyFont="1" applyFill="1" applyBorder="1" applyAlignment="1" applyProtection="1">
      <alignment horizontal="right"/>
    </xf>
    <xf numFmtId="165" fontId="3" fillId="0" borderId="73" xfId="1" applyNumberFormat="1" applyFont="1" applyFill="1" applyBorder="1" applyAlignment="1">
      <alignment horizontal="right"/>
    </xf>
    <xf numFmtId="165" fontId="3" fillId="0" borderId="33" xfId="1" applyNumberFormat="1" applyFont="1" applyFill="1" applyBorder="1" applyAlignment="1" applyProtection="1">
      <alignment horizontal="right"/>
    </xf>
    <xf numFmtId="169" fontId="3" fillId="0" borderId="57" xfId="0" applyNumberFormat="1" applyFont="1" applyFill="1" applyBorder="1" applyAlignment="1" applyProtection="1">
      <alignment horizontal="right"/>
    </xf>
    <xf numFmtId="164" fontId="3" fillId="0" borderId="62" xfId="0" applyFont="1" applyFill="1" applyBorder="1"/>
    <xf numFmtId="165" fontId="3" fillId="0" borderId="47" xfId="0" applyNumberFormat="1" applyFont="1" applyFill="1" applyBorder="1" applyAlignment="1">
      <alignment horizontal="right"/>
    </xf>
    <xf numFmtId="165" fontId="3" fillId="3" borderId="9" xfId="1" quotePrefix="1" applyNumberFormat="1" applyFont="1" applyFill="1" applyBorder="1" applyAlignment="1">
      <alignment horizontal="right"/>
    </xf>
    <xf numFmtId="169" fontId="3" fillId="0" borderId="37" xfId="0" applyNumberFormat="1" applyFont="1" applyFill="1" applyBorder="1" applyAlignment="1" applyProtection="1">
      <alignment horizontal="right"/>
    </xf>
    <xf numFmtId="3" fontId="3" fillId="0" borderId="0" xfId="0" applyNumberFormat="1" applyFont="1"/>
    <xf numFmtId="164" fontId="3" fillId="0" borderId="23" xfId="0" applyNumberFormat="1" applyFont="1" applyFill="1" applyBorder="1" applyAlignment="1" applyProtection="1">
      <alignment horizontal="left"/>
    </xf>
    <xf numFmtId="167" fontId="3" fillId="0" borderId="89" xfId="0" applyNumberFormat="1" applyFont="1" applyFill="1" applyBorder="1" applyAlignment="1" applyProtection="1">
      <alignment horizontal="right"/>
    </xf>
    <xf numFmtId="3" fontId="3" fillId="0" borderId="89" xfId="0" applyNumberFormat="1" applyFont="1" applyFill="1" applyBorder="1" applyAlignment="1" applyProtection="1">
      <alignment horizontal="right"/>
    </xf>
    <xf numFmtId="169" fontId="3" fillId="0" borderId="89" xfId="0" applyNumberFormat="1" applyFont="1" applyFill="1" applyBorder="1" applyAlignment="1" applyProtection="1">
      <alignment horizontal="right"/>
    </xf>
    <xf numFmtId="169" fontId="3" fillId="0" borderId="135" xfId="0" applyNumberFormat="1" applyFont="1" applyFill="1" applyBorder="1" applyAlignment="1" applyProtection="1">
      <alignment horizontal="right"/>
    </xf>
    <xf numFmtId="165" fontId="3" fillId="0" borderId="96" xfId="1" applyNumberFormat="1" applyFont="1" applyFill="1" applyBorder="1" applyAlignment="1">
      <alignment horizontal="right"/>
    </xf>
    <xf numFmtId="164" fontId="3" fillId="0" borderId="62" xfId="0" applyNumberFormat="1" applyFont="1" applyFill="1" applyBorder="1" applyAlignment="1" applyProtection="1">
      <alignment horizontal="left"/>
    </xf>
    <xf numFmtId="167" fontId="3" fillId="0" borderId="58" xfId="0" applyNumberFormat="1" applyFont="1" applyFill="1" applyBorder="1" applyAlignment="1" applyProtection="1">
      <alignment horizontal="right"/>
    </xf>
    <xf numFmtId="3" fontId="3" fillId="0" borderId="58" xfId="0" applyNumberFormat="1" applyFont="1" applyFill="1" applyBorder="1" applyAlignment="1" applyProtection="1">
      <alignment horizontal="right"/>
    </xf>
    <xf numFmtId="169" fontId="3" fillId="0" borderId="58" xfId="0" applyNumberFormat="1" applyFont="1" applyFill="1" applyBorder="1" applyAlignment="1" applyProtection="1">
      <alignment horizontal="right"/>
    </xf>
    <xf numFmtId="169" fontId="3" fillId="0" borderId="136" xfId="0" applyNumberFormat="1" applyFont="1" applyFill="1" applyBorder="1" applyAlignment="1" applyProtection="1">
      <alignment horizontal="right"/>
    </xf>
    <xf numFmtId="165" fontId="3" fillId="0" borderId="83" xfId="1" applyNumberFormat="1" applyFont="1" applyFill="1" applyBorder="1" applyAlignment="1">
      <alignment horizontal="right"/>
    </xf>
    <xf numFmtId="165" fontId="3" fillId="0" borderId="58" xfId="1" applyNumberFormat="1" applyFont="1" applyFill="1" applyBorder="1" applyAlignment="1" applyProtection="1">
      <alignment horizontal="right"/>
    </xf>
    <xf numFmtId="169" fontId="3" fillId="0" borderId="60" xfId="1" applyNumberFormat="1" applyFont="1" applyFill="1" applyBorder="1" applyAlignment="1" applyProtection="1">
      <alignment horizontal="right"/>
    </xf>
    <xf numFmtId="169" fontId="3" fillId="0" borderId="6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4" fontId="3" fillId="0" borderId="0" xfId="0" applyNumberFormat="1" applyFont="1" applyFill="1" applyBorder="1" applyAlignment="1" applyProtection="1">
      <alignment horizontal="left"/>
    </xf>
    <xf numFmtId="3" fontId="0" fillId="0" borderId="0" xfId="0" applyNumberFormat="1"/>
    <xf numFmtId="169" fontId="0" fillId="0" borderId="137" xfId="0" applyNumberFormat="1" applyBorder="1"/>
    <xf numFmtId="3" fontId="0" fillId="0" borderId="137" xfId="0" applyNumberFormat="1" applyBorder="1"/>
    <xf numFmtId="164" fontId="0" fillId="0" borderId="1" xfId="0" applyBorder="1" applyAlignment="1">
      <alignment horizontal="center"/>
    </xf>
    <xf numFmtId="164" fontId="0" fillId="0" borderId="4" xfId="0" applyBorder="1" applyAlignment="1">
      <alignment horizontal="center"/>
    </xf>
    <xf numFmtId="169" fontId="0" fillId="0" borderId="0" xfId="0" applyNumberFormat="1"/>
    <xf numFmtId="3" fontId="3" fillId="0" borderId="0" xfId="1" applyNumberFormat="1" applyFont="1" applyFill="1" applyProtection="1"/>
    <xf numFmtId="1" fontId="3" fillId="0" borderId="0" xfId="0" applyNumberFormat="1" applyFont="1"/>
    <xf numFmtId="1" fontId="3" fillId="0" borderId="0" xfId="0" applyNumberFormat="1" applyFont="1" applyBorder="1"/>
    <xf numFmtId="164" fontId="7" fillId="0" borderId="0" xfId="0" applyFont="1"/>
    <xf numFmtId="172" fontId="0" fillId="0" borderId="0" xfId="0" applyNumberFormat="1"/>
    <xf numFmtId="10" fontId="0" fillId="0" borderId="0" xfId="0" applyNumberFormat="1"/>
    <xf numFmtId="2" fontId="0" fillId="0" borderId="0" xfId="0" applyNumberFormat="1"/>
    <xf numFmtId="1" fontId="0" fillId="0" borderId="0" xfId="0" applyNumberFormat="1"/>
    <xf numFmtId="164" fontId="3" fillId="0" borderId="35" xfId="0" applyFont="1" applyFill="1" applyBorder="1"/>
    <xf numFmtId="165" fontId="3" fillId="0" borderId="47" xfId="1" applyNumberFormat="1" applyFont="1" applyFill="1" applyBorder="1" applyAlignment="1" applyProtection="1">
      <alignment horizontal="right"/>
    </xf>
    <xf numFmtId="165" fontId="3" fillId="0" borderId="48" xfId="1" applyNumberFormat="1" applyFont="1" applyFill="1" applyBorder="1" applyAlignment="1" applyProtection="1">
      <alignment horizontal="right"/>
    </xf>
    <xf numFmtId="165" fontId="3" fillId="0" borderId="51" xfId="1" applyNumberFormat="1" applyFont="1" applyFill="1" applyBorder="1" applyAlignment="1" applyProtection="1">
      <alignment horizontal="right"/>
    </xf>
    <xf numFmtId="165" fontId="3" fillId="0" borderId="13" xfId="1" applyNumberFormat="1" applyFont="1" applyFill="1" applyBorder="1" applyAlignment="1" applyProtection="1">
      <alignment horizontal="right"/>
    </xf>
    <xf numFmtId="165" fontId="3" fillId="0" borderId="6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 applyProtection="1">
      <alignment horizontal="right"/>
    </xf>
    <xf numFmtId="165" fontId="3" fillId="0" borderId="20" xfId="1" applyNumberFormat="1" applyFont="1" applyFill="1" applyBorder="1" applyAlignment="1" applyProtection="1">
      <alignment horizontal="right"/>
    </xf>
    <xf numFmtId="4" fontId="0" fillId="0" borderId="0" xfId="0" applyNumberFormat="1"/>
    <xf numFmtId="170" fontId="0" fillId="0" borderId="0" xfId="0" applyNumberFormat="1"/>
    <xf numFmtId="165" fontId="3" fillId="0" borderId="54" xfId="0" applyNumberFormat="1" applyFont="1" applyFill="1" applyBorder="1" applyAlignment="1">
      <alignment horizontal="right"/>
    </xf>
    <xf numFmtId="37" fontId="3" fillId="0" borderId="0" xfId="2" applyNumberFormat="1" applyFont="1" applyFill="1" applyProtection="1"/>
    <xf numFmtId="165" fontId="3" fillId="0" borderId="48" xfId="1" applyNumberFormat="1" applyFont="1" applyFill="1" applyBorder="1" applyAlignment="1">
      <alignment horizontal="right"/>
    </xf>
    <xf numFmtId="3" fontId="3" fillId="3" borderId="7" xfId="1" applyNumberFormat="1" applyFont="1" applyFill="1" applyBorder="1" applyAlignment="1" applyProtection="1">
      <alignment horizontal="right"/>
    </xf>
    <xf numFmtId="165" fontId="3" fillId="0" borderId="35" xfId="0" applyNumberFormat="1" applyFont="1" applyFill="1" applyBorder="1" applyAlignment="1">
      <alignment horizontal="right"/>
    </xf>
    <xf numFmtId="165" fontId="3" fillId="0" borderId="127" xfId="1" applyNumberFormat="1" applyFont="1" applyFill="1" applyBorder="1" applyAlignment="1" applyProtection="1">
      <alignment horizontal="right"/>
    </xf>
    <xf numFmtId="169" fontId="3" fillId="0" borderId="53" xfId="0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3" fillId="0" borderId="54" xfId="1" applyNumberFormat="1" applyFont="1" applyFill="1" applyBorder="1" applyAlignment="1">
      <alignment horizontal="right"/>
    </xf>
    <xf numFmtId="164" fontId="8" fillId="0" borderId="0" xfId="0" applyFont="1"/>
    <xf numFmtId="164" fontId="9" fillId="0" borderId="0" xfId="0" applyFont="1"/>
    <xf numFmtId="164" fontId="9" fillId="0" borderId="53" xfId="0" applyFont="1" applyBorder="1" applyAlignment="1">
      <alignment horizontal="center" vertical="center" wrapText="1"/>
    </xf>
    <xf numFmtId="164" fontId="9" fillId="0" borderId="53" xfId="0" applyFont="1" applyBorder="1"/>
    <xf numFmtId="171" fontId="9" fillId="0" borderId="53" xfId="0" applyNumberFormat="1" applyFont="1" applyBorder="1"/>
    <xf numFmtId="173" fontId="9" fillId="0" borderId="53" xfId="0" applyNumberFormat="1" applyFont="1" applyBorder="1"/>
    <xf numFmtId="5" fontId="9" fillId="0" borderId="53" xfId="0" applyNumberFormat="1" applyFont="1" applyBorder="1"/>
    <xf numFmtId="5" fontId="9" fillId="0" borderId="53" xfId="0" applyNumberFormat="1" applyFont="1" applyFill="1" applyBorder="1"/>
    <xf numFmtId="164" fontId="9" fillId="0" borderId="99" xfId="0" applyFont="1" applyBorder="1" applyAlignment="1">
      <alignment horizontal="centerContinuous" vertical="top"/>
    </xf>
    <xf numFmtId="169" fontId="9" fillId="0" borderId="62" xfId="0" applyNumberFormat="1" applyFont="1" applyFill="1" applyBorder="1" applyAlignment="1">
      <alignment horizontal="centerContinuous" vertical="top"/>
    </xf>
    <xf numFmtId="164" fontId="9" fillId="0" borderId="54" xfId="0" applyFont="1" applyBorder="1" applyAlignment="1">
      <alignment horizontal="centerContinuous" vertical="top"/>
    </xf>
    <xf numFmtId="169" fontId="9" fillId="0" borderId="49" xfId="0" applyNumberFormat="1" applyFont="1" applyFill="1" applyBorder="1" applyAlignment="1">
      <alignment horizontal="centerContinuous"/>
    </xf>
    <xf numFmtId="169" fontId="9" fillId="0" borderId="49" xfId="0" applyNumberFormat="1" applyFont="1" applyFill="1" applyBorder="1" applyAlignment="1">
      <alignment horizontal="center"/>
    </xf>
    <xf numFmtId="169" fontId="9" fillId="0" borderId="56" xfId="0" applyNumberFormat="1" applyFont="1" applyFill="1" applyBorder="1" applyAlignment="1">
      <alignment horizontal="center" vertical="center" wrapText="1"/>
    </xf>
    <xf numFmtId="0" fontId="3" fillId="0" borderId="138" xfId="0" applyNumberFormat="1" applyFont="1" applyBorder="1"/>
    <xf numFmtId="0" fontId="3" fillId="0" borderId="139" xfId="0" applyNumberFormat="1" applyFont="1" applyBorder="1"/>
    <xf numFmtId="165" fontId="3" fillId="3" borderId="139" xfId="1" applyNumberFormat="1" applyFont="1" applyFill="1" applyBorder="1" applyAlignment="1" applyProtection="1">
      <alignment horizontal="center"/>
    </xf>
    <xf numFmtId="169" fontId="3" fillId="3" borderId="139" xfId="0" applyNumberFormat="1" applyFont="1" applyFill="1" applyBorder="1" applyAlignment="1" applyProtection="1">
      <alignment horizontal="center"/>
    </xf>
    <xf numFmtId="164" fontId="3" fillId="0" borderId="139" xfId="0" applyFont="1" applyBorder="1"/>
    <xf numFmtId="1" fontId="3" fillId="0" borderId="139" xfId="0" applyNumberFormat="1" applyFont="1" applyBorder="1"/>
    <xf numFmtId="169" fontId="9" fillId="0" borderId="140" xfId="0" applyNumberFormat="1" applyFont="1" applyFill="1" applyBorder="1"/>
    <xf numFmtId="169" fontId="0" fillId="3" borderId="10" xfId="0" applyNumberFormat="1" applyFill="1" applyBorder="1" applyAlignment="1" applyProtection="1">
      <alignment horizontal="right"/>
    </xf>
    <xf numFmtId="169" fontId="0" fillId="3" borderId="72" xfId="0" applyNumberFormat="1" applyFill="1" applyBorder="1" applyAlignment="1" applyProtection="1">
      <alignment horizontal="right"/>
    </xf>
    <xf numFmtId="164" fontId="4" fillId="3" borderId="0" xfId="0" applyFont="1" applyFill="1" applyBorder="1" applyAlignment="1">
      <alignment horizontal="center"/>
    </xf>
    <xf numFmtId="2" fontId="3" fillId="3" borderId="0" xfId="0" applyNumberFormat="1" applyFont="1" applyFill="1" applyBorder="1"/>
    <xf numFmtId="169" fontId="0" fillId="3" borderId="67" xfId="0" applyNumberFormat="1" applyFill="1" applyBorder="1" applyAlignment="1" applyProtection="1">
      <alignment horizontal="right"/>
    </xf>
    <xf numFmtId="1" fontId="3" fillId="0" borderId="1" xfId="0" applyNumberFormat="1" applyFont="1" applyBorder="1"/>
    <xf numFmtId="169" fontId="9" fillId="0" borderId="4" xfId="0" applyNumberFormat="1" applyFont="1" applyFill="1" applyBorder="1"/>
    <xf numFmtId="169" fontId="9" fillId="0" borderId="139" xfId="0" applyNumberFormat="1" applyFont="1" applyFill="1" applyBorder="1"/>
    <xf numFmtId="0" fontId="3" fillId="0" borderId="141" xfId="0" applyNumberFormat="1" applyFont="1" applyBorder="1"/>
    <xf numFmtId="1" fontId="3" fillId="0" borderId="95" xfId="0" applyNumberFormat="1" applyFont="1" applyBorder="1"/>
    <xf numFmtId="164" fontId="3" fillId="0" borderId="95" xfId="0" applyFont="1" applyBorder="1"/>
    <xf numFmtId="0" fontId="3" fillId="0" borderId="22" xfId="0" applyNumberFormat="1" applyFont="1" applyBorder="1"/>
    <xf numFmtId="1" fontId="3" fillId="0" borderId="4" xfId="0" applyNumberFormat="1" applyFont="1" applyBorder="1"/>
    <xf numFmtId="164" fontId="3" fillId="0" borderId="4" xfId="0" applyFont="1" applyBorder="1"/>
    <xf numFmtId="0" fontId="3" fillId="0" borderId="3" xfId="0" applyNumberFormat="1" applyFont="1" applyBorder="1"/>
    <xf numFmtId="0" fontId="3" fillId="0" borderId="27" xfId="0" applyNumberFormat="1" applyFont="1" applyBorder="1"/>
    <xf numFmtId="1" fontId="3" fillId="0" borderId="62" xfId="0" applyNumberFormat="1" applyFont="1" applyBorder="1"/>
    <xf numFmtId="164" fontId="3" fillId="3" borderId="139" xfId="0" applyFont="1" applyFill="1" applyBorder="1"/>
    <xf numFmtId="1" fontId="9" fillId="0" borderId="140" xfId="0" applyNumberFormat="1" applyFont="1" applyFill="1" applyBorder="1"/>
    <xf numFmtId="1" fontId="3" fillId="3" borderId="16" xfId="0" applyNumberFormat="1" applyFont="1" applyFill="1" applyBorder="1" applyAlignment="1" applyProtection="1">
      <alignment horizontal="right"/>
    </xf>
    <xf numFmtId="1" fontId="3" fillId="3" borderId="20" xfId="0" applyNumberFormat="1" applyFont="1" applyFill="1" applyBorder="1" applyAlignment="1" applyProtection="1">
      <alignment horizontal="right"/>
    </xf>
    <xf numFmtId="1" fontId="9" fillId="0" borderId="4" xfId="0" applyNumberFormat="1" applyFont="1" applyFill="1" applyBorder="1"/>
    <xf numFmtId="1" fontId="9" fillId="0" borderId="139" xfId="0" applyNumberFormat="1" applyFont="1" applyFill="1" applyBorder="1"/>
    <xf numFmtId="1" fontId="3" fillId="3" borderId="14" xfId="0" applyNumberFormat="1" applyFont="1" applyFill="1" applyBorder="1" applyAlignment="1" applyProtection="1">
      <alignment horizontal="right"/>
    </xf>
    <xf numFmtId="1" fontId="3" fillId="3" borderId="1" xfId="0" applyNumberFormat="1" applyFont="1" applyFill="1" applyBorder="1"/>
    <xf numFmtId="1" fontId="3" fillId="3" borderId="0" xfId="0" applyNumberFormat="1" applyFont="1" applyFill="1" applyBorder="1"/>
    <xf numFmtId="1" fontId="3" fillId="3" borderId="4" xfId="0" applyNumberFormat="1" applyFont="1" applyFill="1" applyBorder="1"/>
    <xf numFmtId="1" fontId="4" fillId="3" borderId="0" xfId="0" applyNumberFormat="1" applyFont="1" applyFill="1" applyBorder="1" applyAlignment="1">
      <alignment horizontal="center"/>
    </xf>
    <xf numFmtId="1" fontId="3" fillId="3" borderId="49" xfId="0" applyNumberFormat="1" applyFont="1" applyFill="1" applyBorder="1"/>
    <xf numFmtId="1" fontId="3" fillId="3" borderId="56" xfId="0" applyNumberFormat="1" applyFont="1" applyFill="1" applyBorder="1"/>
    <xf numFmtId="1" fontId="3" fillId="3" borderId="20" xfId="0" applyNumberFormat="1" applyFont="1" applyFill="1" applyBorder="1" applyAlignment="1" applyProtection="1">
      <alignment horizontal="center"/>
    </xf>
    <xf numFmtId="1" fontId="3" fillId="3" borderId="62" xfId="0" applyNumberFormat="1" applyFont="1" applyFill="1" applyBorder="1"/>
    <xf numFmtId="1" fontId="3" fillId="0" borderId="20" xfId="0" applyNumberFormat="1" applyFont="1" applyBorder="1" applyAlignment="1">
      <alignment horizontal="right"/>
    </xf>
    <xf numFmtId="1" fontId="3" fillId="3" borderId="20" xfId="1" applyNumberFormat="1" applyFont="1" applyFill="1" applyBorder="1" applyAlignment="1" applyProtection="1">
      <alignment horizontal="right"/>
    </xf>
    <xf numFmtId="1" fontId="3" fillId="3" borderId="21" xfId="0" applyNumberFormat="1" applyFont="1" applyFill="1" applyBorder="1" applyAlignment="1" applyProtection="1">
      <alignment horizontal="right"/>
    </xf>
    <xf numFmtId="1" fontId="3" fillId="3" borderId="20" xfId="0" applyNumberFormat="1" applyFont="1" applyFill="1" applyBorder="1" applyProtection="1"/>
    <xf numFmtId="169" fontId="3" fillId="4" borderId="31" xfId="0" applyNumberFormat="1" applyFont="1" applyFill="1" applyBorder="1" applyAlignment="1" applyProtection="1">
      <alignment horizontal="right"/>
    </xf>
    <xf numFmtId="0" fontId="3" fillId="0" borderId="99" xfId="0" applyNumberFormat="1" applyFont="1" applyBorder="1"/>
    <xf numFmtId="169" fontId="3" fillId="3" borderId="10" xfId="0" applyNumberFormat="1" applyFont="1" applyFill="1" applyBorder="1" applyProtection="1"/>
    <xf numFmtId="3" fontId="3" fillId="3" borderId="15" xfId="0" applyNumberFormat="1" applyFont="1" applyFill="1" applyBorder="1" applyAlignment="1" applyProtection="1">
      <alignment horizontal="right"/>
    </xf>
    <xf numFmtId="3" fontId="3" fillId="3" borderId="35" xfId="1" applyNumberFormat="1" applyFont="1" applyFill="1" applyBorder="1" applyAlignment="1" applyProtection="1">
      <alignment horizontal="right"/>
    </xf>
    <xf numFmtId="3" fontId="3" fillId="3" borderId="142" xfId="1" applyNumberFormat="1" applyFont="1" applyFill="1" applyBorder="1" applyAlignment="1" applyProtection="1">
      <alignment horizontal="right"/>
    </xf>
    <xf numFmtId="3" fontId="3" fillId="3" borderId="74" xfId="1" applyNumberFormat="1" applyFont="1" applyFill="1" applyBorder="1" applyAlignment="1" applyProtection="1">
      <alignment horizontal="right"/>
    </xf>
    <xf numFmtId="3" fontId="3" fillId="3" borderId="26" xfId="1" applyNumberFormat="1" applyFont="1" applyFill="1" applyBorder="1" applyAlignment="1" applyProtection="1">
      <alignment horizontal="right"/>
    </xf>
    <xf numFmtId="169" fontId="3" fillId="3" borderId="16" xfId="0" applyNumberFormat="1" applyFont="1" applyFill="1" applyBorder="1" applyAlignment="1" applyProtection="1">
      <alignment horizontal="left"/>
    </xf>
    <xf numFmtId="169" fontId="3" fillId="3" borderId="72" xfId="0" applyNumberFormat="1" applyFont="1" applyFill="1" applyBorder="1" applyAlignment="1" applyProtection="1">
      <alignment horizontal="right"/>
    </xf>
    <xf numFmtId="169" fontId="3" fillId="3" borderId="27" xfId="0" applyNumberFormat="1" applyFont="1" applyFill="1" applyBorder="1" applyAlignment="1" applyProtection="1">
      <alignment horizontal="right"/>
    </xf>
    <xf numFmtId="169" fontId="3" fillId="4" borderId="0" xfId="1" applyNumberFormat="1" applyFont="1" applyFill="1" applyBorder="1" applyAlignment="1" applyProtection="1">
      <alignment horizontal="right"/>
    </xf>
    <xf numFmtId="169" fontId="3" fillId="4" borderId="35" xfId="0" applyNumberFormat="1" applyFont="1" applyFill="1" applyBorder="1" applyAlignment="1" applyProtection="1">
      <alignment horizontal="right"/>
    </xf>
    <xf numFmtId="169" fontId="3" fillId="3" borderId="76" xfId="1" applyNumberFormat="1" applyFont="1" applyFill="1" applyBorder="1" applyAlignment="1">
      <alignment horizontal="right"/>
    </xf>
    <xf numFmtId="169" fontId="3" fillId="3" borderId="76" xfId="0" applyNumberFormat="1" applyFont="1" applyFill="1" applyBorder="1" applyAlignment="1">
      <alignment horizontal="right"/>
    </xf>
    <xf numFmtId="169" fontId="3" fillId="3" borderId="70" xfId="1" applyNumberFormat="1" applyFont="1" applyFill="1" applyBorder="1" applyAlignment="1" applyProtection="1">
      <alignment horizontal="right"/>
    </xf>
    <xf numFmtId="169" fontId="3" fillId="3" borderId="94" xfId="0" applyNumberFormat="1" applyFont="1" applyFill="1" applyBorder="1" applyAlignment="1" applyProtection="1">
      <alignment horizontal="right"/>
    </xf>
    <xf numFmtId="1" fontId="3" fillId="3" borderId="94" xfId="0" applyNumberFormat="1" applyFont="1" applyFill="1" applyBorder="1" applyAlignment="1" applyProtection="1">
      <alignment horizontal="right"/>
    </xf>
    <xf numFmtId="1" fontId="3" fillId="3" borderId="139" xfId="0" applyNumberFormat="1" applyFont="1" applyFill="1" applyBorder="1"/>
    <xf numFmtId="164" fontId="3" fillId="3" borderId="95" xfId="0" applyFont="1" applyFill="1" applyBorder="1"/>
    <xf numFmtId="1" fontId="3" fillId="3" borderId="95" xfId="0" applyNumberFormat="1" applyFont="1" applyFill="1" applyBorder="1"/>
    <xf numFmtId="3" fontId="3" fillId="3" borderId="127" xfId="1" applyNumberFormat="1" applyFont="1" applyFill="1" applyBorder="1" applyAlignment="1">
      <alignment horizontal="right"/>
    </xf>
    <xf numFmtId="3" fontId="3" fillId="3" borderId="9" xfId="1" applyNumberFormat="1" applyFont="1" applyFill="1" applyBorder="1" applyAlignment="1">
      <alignment horizontal="right"/>
    </xf>
    <xf numFmtId="3" fontId="3" fillId="3" borderId="48" xfId="1" applyNumberFormat="1" applyFont="1" applyFill="1" applyBorder="1" applyAlignment="1">
      <alignment horizontal="right"/>
    </xf>
    <xf numFmtId="3" fontId="3" fillId="3" borderId="128" xfId="1" applyNumberFormat="1" applyFont="1" applyFill="1" applyBorder="1" applyAlignment="1" applyProtection="1">
      <alignment horizontal="right"/>
    </xf>
    <xf numFmtId="3" fontId="3" fillId="3" borderId="14" xfId="1" applyNumberFormat="1" applyFont="1" applyFill="1" applyBorder="1" applyAlignment="1" applyProtection="1">
      <alignment horizontal="right"/>
    </xf>
    <xf numFmtId="169" fontId="3" fillId="3" borderId="143" xfId="0" applyNumberFormat="1" applyFont="1" applyFill="1" applyBorder="1" applyAlignment="1">
      <alignment horizontal="right"/>
    </xf>
    <xf numFmtId="169" fontId="3" fillId="3" borderId="144" xfId="0" applyNumberFormat="1" applyFont="1" applyFill="1" applyBorder="1" applyAlignment="1">
      <alignment horizontal="right"/>
    </xf>
    <xf numFmtId="0" fontId="3" fillId="3" borderId="27" xfId="0" applyNumberFormat="1" applyFont="1" applyFill="1" applyBorder="1"/>
    <xf numFmtId="164" fontId="4" fillId="2" borderId="145" xfId="0" applyFont="1" applyFill="1" applyBorder="1"/>
    <xf numFmtId="164" fontId="3" fillId="2" borderId="146" xfId="0" applyFont="1" applyFill="1" applyBorder="1"/>
    <xf numFmtId="167" fontId="3" fillId="2" borderId="140" xfId="0" applyNumberFormat="1" applyFont="1" applyFill="1" applyBorder="1" applyAlignment="1" applyProtection="1">
      <alignment horizontal="right"/>
    </xf>
    <xf numFmtId="3" fontId="3" fillId="3" borderId="146" xfId="0" applyNumberFormat="1" applyFont="1" applyFill="1" applyBorder="1" applyAlignment="1">
      <alignment horizontal="right"/>
    </xf>
    <xf numFmtId="3" fontId="3" fillId="2" borderId="140" xfId="0" applyNumberFormat="1" applyFont="1" applyFill="1" applyBorder="1" applyAlignment="1" applyProtection="1">
      <alignment horizontal="right"/>
    </xf>
    <xf numFmtId="169" fontId="3" fillId="3" borderId="146" xfId="0" applyNumberFormat="1" applyFont="1" applyFill="1" applyBorder="1" applyAlignment="1">
      <alignment horizontal="right"/>
    </xf>
    <xf numFmtId="3" fontId="3" fillId="2" borderId="144" xfId="1" applyNumberFormat="1" applyFont="1" applyFill="1" applyBorder="1" applyAlignment="1" applyProtection="1">
      <alignment horizontal="right"/>
    </xf>
    <xf numFmtId="169" fontId="3" fillId="2" borderId="144" xfId="1" applyNumberFormat="1" applyFont="1" applyFill="1" applyBorder="1" applyAlignment="1" applyProtection="1">
      <alignment horizontal="right"/>
    </xf>
    <xf numFmtId="3" fontId="3" fillId="2" borderId="140" xfId="1" applyNumberFormat="1" applyFont="1" applyFill="1" applyBorder="1" applyAlignment="1" applyProtection="1">
      <alignment horizontal="right"/>
    </xf>
    <xf numFmtId="169" fontId="3" fillId="3" borderId="2" xfId="1" applyNumberFormat="1" applyFont="1" applyFill="1" applyBorder="1" applyProtection="1"/>
    <xf numFmtId="167" fontId="3" fillId="3" borderId="27" xfId="0" applyNumberFormat="1" applyFont="1" applyFill="1" applyBorder="1" applyAlignment="1" applyProtection="1">
      <alignment horizontal="center"/>
    </xf>
    <xf numFmtId="168" fontId="3" fillId="0" borderId="27" xfId="0" applyNumberFormat="1" applyFont="1" applyFill="1" applyBorder="1" applyAlignment="1" applyProtection="1">
      <alignment horizontal="center"/>
    </xf>
    <xf numFmtId="168" fontId="3" fillId="0" borderId="0" xfId="0" quotePrefix="1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center"/>
    </xf>
    <xf numFmtId="167" fontId="3" fillId="3" borderId="22" xfId="0" applyNumberFormat="1" applyFont="1" applyFill="1" applyBorder="1" applyAlignment="1" applyProtection="1">
      <alignment horizontal="center"/>
    </xf>
    <xf numFmtId="169" fontId="3" fillId="3" borderId="47" xfId="1" applyNumberFormat="1" applyFont="1" applyFill="1" applyBorder="1" applyAlignment="1">
      <alignment horizontal="center"/>
    </xf>
    <xf numFmtId="2" fontId="3" fillId="0" borderId="0" xfId="1" applyNumberFormat="1" applyFont="1" applyFill="1" applyProtection="1"/>
    <xf numFmtId="2" fontId="3" fillId="0" borderId="0" xfId="0" applyNumberFormat="1" applyFont="1" applyFill="1"/>
    <xf numFmtId="10" fontId="3" fillId="0" borderId="0" xfId="0" applyNumberFormat="1" applyFont="1" applyFill="1"/>
    <xf numFmtId="10" fontId="3" fillId="0" borderId="0" xfId="0" applyNumberFormat="1" applyFont="1" applyFill="1" applyAlignment="1" applyProtection="1">
      <alignment horizontal="right"/>
    </xf>
    <xf numFmtId="0" fontId="3" fillId="0" borderId="0" xfId="1" applyNumberFormat="1" applyFont="1" applyFill="1" applyProtection="1"/>
    <xf numFmtId="10" fontId="3" fillId="0" borderId="0" xfId="2" applyNumberFormat="1" applyFont="1" applyFill="1" applyProtection="1"/>
    <xf numFmtId="165" fontId="4" fillId="0" borderId="0" xfId="1" applyNumberFormat="1" applyFont="1" applyFill="1" applyProtection="1"/>
    <xf numFmtId="165" fontId="2" fillId="0" borderId="0" xfId="3" applyNumberFormat="1" applyFill="1" applyAlignment="1" applyProtection="1"/>
    <xf numFmtId="1" fontId="3" fillId="3" borderId="17" xfId="0" applyNumberFormat="1" applyFont="1" applyFill="1" applyBorder="1" applyAlignment="1" applyProtection="1">
      <alignment horizontal="right"/>
    </xf>
    <xf numFmtId="1" fontId="3" fillId="3" borderId="20" xfId="0" applyNumberFormat="1" applyFont="1" applyFill="1" applyBorder="1" applyAlignment="1">
      <alignment horizontal="right"/>
    </xf>
    <xf numFmtId="1" fontId="3" fillId="3" borderId="144" xfId="0" applyNumberFormat="1" applyFont="1" applyFill="1" applyBorder="1" applyAlignment="1">
      <alignment horizontal="right"/>
    </xf>
    <xf numFmtId="1" fontId="3" fillId="2" borderId="144" xfId="1" applyNumberFormat="1" applyFont="1" applyFill="1" applyBorder="1" applyAlignment="1" applyProtection="1">
      <alignment horizontal="right"/>
    </xf>
    <xf numFmtId="1" fontId="9" fillId="0" borderId="144" xfId="0" applyNumberFormat="1" applyFont="1" applyFill="1" applyBorder="1"/>
    <xf numFmtId="0" fontId="3" fillId="0" borderId="140" xfId="0" applyNumberFormat="1" applyFont="1" applyBorder="1"/>
    <xf numFmtId="0" fontId="3" fillId="3" borderId="140" xfId="0" applyNumberFormat="1" applyFont="1" applyFill="1" applyBorder="1" applyAlignment="1" applyProtection="1">
      <alignment horizontal="right"/>
    </xf>
    <xf numFmtId="0" fontId="3" fillId="0" borderId="36" xfId="0" applyNumberFormat="1" applyFont="1" applyBorder="1"/>
    <xf numFmtId="0" fontId="3" fillId="0" borderId="49" xfId="0" applyNumberFormat="1" applyFont="1" applyBorder="1"/>
    <xf numFmtId="0" fontId="3" fillId="0" borderId="56" xfId="0" applyNumberFormat="1" applyFont="1" applyBorder="1"/>
    <xf numFmtId="0" fontId="3" fillId="0" borderId="147" xfId="0" applyNumberFormat="1" applyFont="1" applyBorder="1"/>
    <xf numFmtId="1" fontId="3" fillId="3" borderId="13" xfId="0" applyNumberFormat="1" applyFont="1" applyFill="1" applyBorder="1" applyAlignment="1" applyProtection="1">
      <alignment horizontal="right"/>
    </xf>
    <xf numFmtId="0" fontId="3" fillId="0" borderId="102" xfId="0" applyNumberFormat="1" applyFont="1" applyBorder="1"/>
    <xf numFmtId="169" fontId="3" fillId="3" borderId="148" xfId="0" applyNumberFormat="1" applyFont="1" applyFill="1" applyBorder="1" applyAlignment="1" applyProtection="1">
      <alignment horizontal="right"/>
    </xf>
    <xf numFmtId="169" fontId="3" fillId="3" borderId="1" xfId="0" applyNumberFormat="1" applyFont="1" applyFill="1" applyBorder="1" applyAlignment="1" applyProtection="1">
      <alignment horizontal="right"/>
    </xf>
    <xf numFmtId="169" fontId="3" fillId="3" borderId="60" xfId="0" applyNumberFormat="1" applyFont="1" applyFill="1" applyBorder="1" applyAlignment="1" applyProtection="1">
      <alignment horizontal="right"/>
    </xf>
    <xf numFmtId="0" fontId="3" fillId="0" borderId="53" xfId="0" applyNumberFormat="1" applyFont="1" applyBorder="1"/>
    <xf numFmtId="164" fontId="4" fillId="5" borderId="18" xfId="0" applyNumberFormat="1" applyFont="1" applyFill="1" applyBorder="1" applyAlignment="1" applyProtection="1">
      <alignment horizontal="left"/>
    </xf>
    <xf numFmtId="164" fontId="3" fillId="5" borderId="17" xfId="0" applyNumberFormat="1" applyFont="1" applyFill="1" applyBorder="1" applyAlignment="1" applyProtection="1">
      <alignment horizontal="left"/>
    </xf>
    <xf numFmtId="167" fontId="3" fillId="5" borderId="17" xfId="0" applyNumberFormat="1" applyFont="1" applyFill="1" applyBorder="1" applyAlignment="1" applyProtection="1">
      <alignment horizontal="right"/>
    </xf>
    <xf numFmtId="3" fontId="3" fillId="5" borderId="17" xfId="0" applyNumberFormat="1" applyFont="1" applyFill="1" applyBorder="1" applyAlignment="1" applyProtection="1">
      <alignment horizontal="right"/>
    </xf>
    <xf numFmtId="169" fontId="3" fillId="5" borderId="17" xfId="0" applyNumberFormat="1" applyFont="1" applyFill="1" applyBorder="1" applyAlignment="1" applyProtection="1">
      <alignment horizontal="right"/>
    </xf>
    <xf numFmtId="169" fontId="3" fillId="5" borderId="19" xfId="0" applyNumberFormat="1" applyFont="1" applyFill="1" applyBorder="1" applyAlignment="1" applyProtection="1">
      <alignment horizontal="right"/>
    </xf>
    <xf numFmtId="165" fontId="3" fillId="5" borderId="17" xfId="1" applyNumberFormat="1" applyFont="1" applyFill="1" applyBorder="1" applyAlignment="1">
      <alignment horizontal="right"/>
    </xf>
    <xf numFmtId="165" fontId="3" fillId="5" borderId="17" xfId="1" applyNumberFormat="1" applyFont="1" applyFill="1" applyBorder="1" applyAlignment="1" applyProtection="1">
      <alignment horizontal="right"/>
    </xf>
    <xf numFmtId="169" fontId="3" fillId="5" borderId="17" xfId="1" applyNumberFormat="1" applyFont="1" applyFill="1" applyBorder="1" applyAlignment="1" applyProtection="1">
      <alignment horizontal="right"/>
    </xf>
    <xf numFmtId="169" fontId="3" fillId="5" borderId="20" xfId="0" applyNumberFormat="1" applyFont="1" applyFill="1" applyBorder="1" applyAlignment="1" applyProtection="1">
      <alignment horizontal="right"/>
    </xf>
    <xf numFmtId="0" fontId="3" fillId="6" borderId="140" xfId="0" applyNumberFormat="1" applyFont="1" applyFill="1" applyBorder="1"/>
    <xf numFmtId="1" fontId="9" fillId="6" borderId="149" xfId="0" applyNumberFormat="1" applyFont="1" applyFill="1" applyBorder="1"/>
    <xf numFmtId="1" fontId="9" fillId="6" borderId="147" xfId="0" applyNumberFormat="1" applyFont="1" applyFill="1" applyBorder="1"/>
    <xf numFmtId="169" fontId="9" fillId="6" borderId="147" xfId="0" applyNumberFormat="1" applyFont="1" applyFill="1" applyBorder="1"/>
    <xf numFmtId="3" fontId="9" fillId="6" borderId="147" xfId="0" applyNumberFormat="1" applyFont="1" applyFill="1" applyBorder="1"/>
    <xf numFmtId="164" fontId="0" fillId="0" borderId="6" xfId="0" applyNumberFormat="1" applyFill="1" applyBorder="1" applyAlignment="1" applyProtection="1">
      <alignment horizontal="left"/>
    </xf>
    <xf numFmtId="4" fontId="0" fillId="4" borderId="6" xfId="0" applyNumberFormat="1" applyFill="1" applyBorder="1" applyAlignment="1" applyProtection="1">
      <alignment horizontal="right"/>
    </xf>
    <xf numFmtId="3" fontId="0" fillId="4" borderId="6" xfId="0" applyNumberFormat="1" applyFill="1" applyBorder="1" applyAlignment="1" applyProtection="1">
      <alignment horizontal="right"/>
    </xf>
    <xf numFmtId="169" fontId="0" fillId="4" borderId="6" xfId="0" applyNumberFormat="1" applyFill="1" applyBorder="1" applyAlignment="1" applyProtection="1">
      <alignment horizontal="right"/>
    </xf>
    <xf numFmtId="169" fontId="0" fillId="4" borderId="97" xfId="0" applyNumberFormat="1" applyFill="1" applyBorder="1" applyAlignment="1" applyProtection="1">
      <alignment horizontal="right"/>
    </xf>
    <xf numFmtId="165" fontId="0" fillId="4" borderId="6" xfId="1" applyNumberFormat="1" applyFont="1" applyFill="1" applyBorder="1" applyAlignment="1">
      <alignment horizontal="right"/>
    </xf>
    <xf numFmtId="165" fontId="0" fillId="4" borderId="6" xfId="1" applyNumberFormat="1" applyFont="1" applyFill="1" applyBorder="1" applyAlignment="1" applyProtection="1">
      <alignment horizontal="right"/>
    </xf>
    <xf numFmtId="169" fontId="0" fillId="4" borderId="6" xfId="1" applyNumberFormat="1" applyFont="1" applyFill="1" applyBorder="1" applyAlignment="1" applyProtection="1">
      <alignment horizontal="right"/>
    </xf>
    <xf numFmtId="164" fontId="4" fillId="6" borderId="145" xfId="0" applyNumberFormat="1" applyFont="1" applyFill="1" applyBorder="1" applyAlignment="1" applyProtection="1">
      <alignment horizontal="left"/>
    </xf>
    <xf numFmtId="164" fontId="3" fillId="6" borderId="146" xfId="0" applyNumberFormat="1" applyFont="1" applyFill="1" applyBorder="1" applyAlignment="1" applyProtection="1">
      <alignment horizontal="left"/>
    </xf>
    <xf numFmtId="167" fontId="3" fillId="6" borderId="146" xfId="0" applyNumberFormat="1" applyFont="1" applyFill="1" applyBorder="1" applyAlignment="1" applyProtection="1">
      <alignment horizontal="right"/>
    </xf>
    <xf numFmtId="3" fontId="3" fillId="6" borderId="146" xfId="0" applyNumberFormat="1" applyFont="1" applyFill="1" applyBorder="1" applyAlignment="1" applyProtection="1">
      <alignment horizontal="right"/>
    </xf>
    <xf numFmtId="169" fontId="3" fillId="6" borderId="146" xfId="0" applyNumberFormat="1" applyFont="1" applyFill="1" applyBorder="1" applyAlignment="1" applyProtection="1">
      <alignment horizontal="right"/>
    </xf>
    <xf numFmtId="169" fontId="3" fillId="6" borderId="150" xfId="0" applyNumberFormat="1" applyFont="1" applyFill="1" applyBorder="1" applyAlignment="1" applyProtection="1">
      <alignment horizontal="right"/>
    </xf>
    <xf numFmtId="165" fontId="3" fillId="6" borderId="146" xfId="1" applyNumberFormat="1" applyFont="1" applyFill="1" applyBorder="1" applyAlignment="1" applyProtection="1">
      <alignment horizontal="right"/>
    </xf>
    <xf numFmtId="169" fontId="3" fillId="6" borderId="146" xfId="1" applyNumberFormat="1" applyFont="1" applyFill="1" applyBorder="1" applyAlignment="1" applyProtection="1">
      <alignment horizontal="right"/>
    </xf>
    <xf numFmtId="1" fontId="3" fillId="6" borderId="146" xfId="0" applyNumberFormat="1" applyFont="1" applyFill="1" applyBorder="1"/>
    <xf numFmtId="164" fontId="3" fillId="6" borderId="146" xfId="0" applyFont="1" applyFill="1" applyBorder="1"/>
    <xf numFmtId="164" fontId="3" fillId="6" borderId="151" xfId="0" applyFont="1" applyFill="1" applyBorder="1"/>
    <xf numFmtId="164" fontId="3" fillId="3" borderId="152" xfId="0" applyNumberFormat="1" applyFont="1" applyFill="1" applyBorder="1" applyAlignment="1" applyProtection="1">
      <alignment horizontal="left"/>
    </xf>
    <xf numFmtId="164" fontId="3" fillId="0" borderId="153" xfId="0" applyFont="1" applyBorder="1"/>
    <xf numFmtId="164" fontId="3" fillId="3" borderId="154" xfId="0" applyFont="1" applyFill="1" applyBorder="1"/>
    <xf numFmtId="164" fontId="3" fillId="0" borderId="155" xfId="0" applyFont="1" applyBorder="1"/>
    <xf numFmtId="164" fontId="3" fillId="3" borderId="156" xfId="0" applyFont="1" applyFill="1" applyBorder="1"/>
    <xf numFmtId="164" fontId="3" fillId="3" borderId="157" xfId="0" applyNumberFormat="1" applyFont="1" applyFill="1" applyBorder="1" applyAlignment="1" applyProtection="1">
      <alignment horizontal="left"/>
    </xf>
    <xf numFmtId="169" fontId="3" fillId="3" borderId="158" xfId="0" applyNumberFormat="1" applyFont="1" applyFill="1" applyBorder="1" applyAlignment="1" applyProtection="1">
      <alignment horizontal="right"/>
    </xf>
    <xf numFmtId="164" fontId="3" fillId="3" borderId="159" xfId="0" applyFont="1" applyFill="1" applyBorder="1"/>
    <xf numFmtId="3" fontId="3" fillId="0" borderId="0" xfId="0" applyNumberFormat="1" applyFont="1" applyBorder="1"/>
    <xf numFmtId="164" fontId="3" fillId="3" borderId="160" xfId="0" applyFont="1" applyFill="1" applyBorder="1"/>
    <xf numFmtId="164" fontId="3" fillId="3" borderId="161" xfId="0" applyNumberFormat="1" applyFont="1" applyFill="1" applyBorder="1" applyAlignment="1" applyProtection="1">
      <alignment horizontal="left"/>
    </xf>
    <xf numFmtId="164" fontId="3" fillId="3" borderId="162" xfId="0" applyFont="1" applyFill="1" applyBorder="1"/>
    <xf numFmtId="164" fontId="3" fillId="0" borderId="163" xfId="0" applyFont="1" applyBorder="1"/>
    <xf numFmtId="164" fontId="3" fillId="3" borderId="161" xfId="0" applyFont="1" applyFill="1" applyBorder="1"/>
    <xf numFmtId="164" fontId="3" fillId="0" borderId="164" xfId="0" applyFont="1" applyBorder="1"/>
    <xf numFmtId="164" fontId="6" fillId="3" borderId="154" xfId="0" applyNumberFormat="1" applyFont="1" applyFill="1" applyBorder="1" applyAlignment="1" applyProtection="1">
      <alignment horizontal="left"/>
    </xf>
    <xf numFmtId="164" fontId="6" fillId="3" borderId="160" xfId="0" applyNumberFormat="1" applyFont="1" applyFill="1" applyBorder="1" applyAlignment="1" applyProtection="1">
      <alignment horizontal="left"/>
    </xf>
    <xf numFmtId="164" fontId="3" fillId="3" borderId="165" xfId="0" applyNumberFormat="1" applyFont="1" applyFill="1" applyBorder="1" applyAlignment="1" applyProtection="1">
      <alignment horizontal="left"/>
    </xf>
    <xf numFmtId="169" fontId="3" fillId="3" borderId="166" xfId="0" applyNumberFormat="1" applyFont="1" applyFill="1" applyBorder="1" applyAlignment="1" applyProtection="1">
      <alignment horizontal="right"/>
    </xf>
    <xf numFmtId="164" fontId="3" fillId="3" borderId="162" xfId="0" applyNumberFormat="1" applyFont="1" applyFill="1" applyBorder="1" applyAlignment="1" applyProtection="1">
      <alignment horizontal="left"/>
    </xf>
    <xf numFmtId="164" fontId="3" fillId="3" borderId="154" xfId="0" applyNumberFormat="1" applyFont="1" applyFill="1" applyBorder="1" applyAlignment="1" applyProtection="1">
      <alignment horizontal="left"/>
    </xf>
    <xf numFmtId="164" fontId="3" fillId="3" borderId="167" xfId="0" applyNumberFormat="1" applyFont="1" applyFill="1" applyBorder="1" applyAlignment="1" applyProtection="1">
      <alignment horizontal="left"/>
    </xf>
    <xf numFmtId="164" fontId="3" fillId="0" borderId="168" xfId="0" applyFont="1" applyBorder="1"/>
    <xf numFmtId="164" fontId="3" fillId="4" borderId="159" xfId="0" applyNumberFormat="1" applyFont="1" applyFill="1" applyBorder="1" applyAlignment="1" applyProtection="1">
      <alignment horizontal="left"/>
    </xf>
    <xf numFmtId="164" fontId="3" fillId="3" borderId="169" xfId="0" applyFont="1" applyFill="1" applyBorder="1"/>
    <xf numFmtId="164" fontId="3" fillId="3" borderId="170" xfId="0" applyNumberFormat="1" applyFont="1" applyFill="1" applyBorder="1" applyAlignment="1" applyProtection="1">
      <alignment horizontal="left"/>
    </xf>
    <xf numFmtId="164" fontId="3" fillId="3" borderId="171" xfId="0" applyNumberFormat="1" applyFont="1" applyFill="1" applyBorder="1" applyAlignment="1" applyProtection="1">
      <alignment horizontal="left"/>
    </xf>
    <xf numFmtId="164" fontId="3" fillId="3" borderId="172" xfId="0" applyNumberFormat="1" applyFont="1" applyFill="1" applyBorder="1" applyAlignment="1" applyProtection="1">
      <alignment horizontal="left"/>
    </xf>
    <xf numFmtId="164" fontId="3" fillId="0" borderId="162" xfId="0" applyNumberFormat="1" applyFont="1" applyFill="1" applyBorder="1" applyAlignment="1" applyProtection="1">
      <alignment horizontal="left"/>
    </xf>
    <xf numFmtId="164" fontId="3" fillId="0" borderId="167" xfId="0" applyNumberFormat="1" applyFont="1" applyFill="1" applyBorder="1" applyAlignment="1" applyProtection="1">
      <alignment horizontal="left"/>
    </xf>
    <xf numFmtId="164" fontId="3" fillId="0" borderId="160" xfId="0" applyNumberFormat="1" applyFont="1" applyFill="1" applyBorder="1" applyAlignment="1" applyProtection="1">
      <alignment horizontal="left"/>
    </xf>
    <xf numFmtId="165" fontId="3" fillId="3" borderId="158" xfId="0" applyNumberFormat="1" applyFont="1" applyFill="1" applyBorder="1" applyAlignment="1" applyProtection="1">
      <alignment horizontal="right"/>
    </xf>
    <xf numFmtId="164" fontId="4" fillId="3" borderId="173" xfId="0" applyNumberFormat="1" applyFont="1" applyFill="1" applyBorder="1" applyAlignment="1" applyProtection="1">
      <alignment horizontal="left"/>
    </xf>
    <xf numFmtId="164" fontId="4" fillId="3" borderId="174" xfId="0" applyNumberFormat="1" applyFont="1" applyFill="1" applyBorder="1" applyAlignment="1" applyProtection="1">
      <alignment horizontal="left"/>
    </xf>
    <xf numFmtId="167" fontId="4" fillId="3" borderId="175" xfId="0" applyNumberFormat="1" applyFont="1" applyFill="1" applyBorder="1" applyAlignment="1" applyProtection="1">
      <alignment horizontal="right"/>
    </xf>
    <xf numFmtId="167" fontId="3" fillId="3" borderId="175" xfId="0" applyNumberFormat="1" applyFont="1" applyFill="1" applyBorder="1" applyAlignment="1" applyProtection="1">
      <alignment horizontal="right"/>
    </xf>
    <xf numFmtId="4" fontId="3" fillId="3" borderId="175" xfId="0" applyNumberFormat="1" applyFont="1" applyFill="1" applyBorder="1" applyAlignment="1" applyProtection="1">
      <alignment horizontal="right"/>
    </xf>
    <xf numFmtId="169" fontId="3" fillId="3" borderId="175" xfId="0" applyNumberFormat="1" applyFont="1" applyFill="1" applyBorder="1" applyAlignment="1" applyProtection="1">
      <alignment horizontal="right"/>
    </xf>
    <xf numFmtId="165" fontId="3" fillId="3" borderId="174" xfId="1" applyNumberFormat="1" applyFont="1" applyFill="1" applyBorder="1" applyAlignment="1" applyProtection="1">
      <alignment horizontal="right"/>
    </xf>
    <xf numFmtId="165" fontId="3" fillId="3" borderId="175" xfId="0" applyNumberFormat="1" applyFont="1" applyFill="1" applyBorder="1" applyAlignment="1" applyProtection="1">
      <alignment horizontal="right"/>
    </xf>
    <xf numFmtId="1" fontId="3" fillId="3" borderId="175" xfId="0" applyNumberFormat="1" applyFont="1" applyFill="1" applyBorder="1" applyAlignment="1" applyProtection="1">
      <alignment horizontal="right"/>
    </xf>
    <xf numFmtId="169" fontId="3" fillId="3" borderId="176" xfId="0" applyNumberFormat="1" applyFont="1" applyFill="1" applyBorder="1" applyAlignment="1" applyProtection="1">
      <alignment horizontal="right"/>
    </xf>
    <xf numFmtId="164" fontId="4" fillId="6" borderId="177" xfId="0" applyNumberFormat="1" applyFont="1" applyFill="1" applyBorder="1" applyAlignment="1" applyProtection="1">
      <alignment horizontal="left"/>
    </xf>
    <xf numFmtId="164" fontId="3" fillId="6" borderId="178" xfId="0" applyNumberFormat="1" applyFont="1" applyFill="1" applyBorder="1" applyAlignment="1" applyProtection="1">
      <alignment horizontal="left"/>
    </xf>
    <xf numFmtId="167" fontId="3" fillId="6" borderId="178" xfId="0" applyNumberFormat="1" applyFont="1" applyFill="1" applyBorder="1" applyAlignment="1" applyProtection="1">
      <alignment horizontal="right"/>
    </xf>
    <xf numFmtId="3" fontId="3" fillId="6" borderId="178" xfId="0" applyNumberFormat="1" applyFont="1" applyFill="1" applyBorder="1" applyAlignment="1" applyProtection="1">
      <alignment horizontal="right"/>
    </xf>
    <xf numFmtId="169" fontId="3" fillId="6" borderId="178" xfId="0" applyNumberFormat="1" applyFont="1" applyFill="1" applyBorder="1" applyAlignment="1" applyProtection="1">
      <alignment horizontal="right"/>
    </xf>
    <xf numFmtId="169" fontId="3" fillId="6" borderId="179" xfId="0" applyNumberFormat="1" applyFont="1" applyFill="1" applyBorder="1" applyAlignment="1" applyProtection="1">
      <alignment horizontal="right"/>
    </xf>
    <xf numFmtId="165" fontId="3" fillId="6" borderId="178" xfId="1" applyNumberFormat="1" applyFont="1" applyFill="1" applyBorder="1" applyAlignment="1">
      <alignment horizontal="right"/>
    </xf>
    <xf numFmtId="165" fontId="3" fillId="6" borderId="178" xfId="1" applyNumberFormat="1" applyFont="1" applyFill="1" applyBorder="1" applyAlignment="1" applyProtection="1">
      <alignment horizontal="right"/>
    </xf>
    <xf numFmtId="169" fontId="3" fillId="6" borderId="178" xfId="1" applyNumberFormat="1" applyFont="1" applyFill="1" applyBorder="1" applyAlignment="1" applyProtection="1">
      <alignment horizontal="right"/>
    </xf>
    <xf numFmtId="169" fontId="3" fillId="6" borderId="180" xfId="0" applyNumberFormat="1" applyFont="1" applyFill="1" applyBorder="1" applyAlignment="1" applyProtection="1">
      <alignment horizontal="right"/>
    </xf>
    <xf numFmtId="1" fontId="3" fillId="6" borderId="181" xfId="0" applyNumberFormat="1" applyFont="1" applyFill="1" applyBorder="1" applyAlignment="1" applyProtection="1">
      <alignment horizontal="right"/>
    </xf>
    <xf numFmtId="169" fontId="3" fillId="6" borderId="181" xfId="0" applyNumberFormat="1" applyFont="1" applyFill="1" applyBorder="1" applyAlignment="1" applyProtection="1">
      <alignment horizontal="right"/>
    </xf>
    <xf numFmtId="169" fontId="3" fillId="6" borderId="182" xfId="0" applyNumberFormat="1" applyFont="1" applyFill="1" applyBorder="1" applyAlignment="1" applyProtection="1">
      <alignment horizontal="right"/>
    </xf>
    <xf numFmtId="164" fontId="0" fillId="0" borderId="152" xfId="0" applyNumberFormat="1" applyFill="1" applyBorder="1" applyAlignment="1" applyProtection="1">
      <alignment horizontal="left"/>
    </xf>
    <xf numFmtId="164" fontId="0" fillId="3" borderId="169" xfId="0" applyFill="1" applyBorder="1"/>
    <xf numFmtId="164" fontId="0" fillId="3" borderId="161" xfId="0" applyFill="1" applyBorder="1"/>
    <xf numFmtId="169" fontId="9" fillId="0" borderId="164" xfId="0" applyNumberFormat="1" applyFont="1" applyFill="1" applyBorder="1"/>
    <xf numFmtId="164" fontId="0" fillId="3" borderId="154" xfId="0" applyFill="1" applyBorder="1"/>
    <xf numFmtId="169" fontId="9" fillId="0" borderId="183" xfId="0" applyNumberFormat="1" applyFont="1" applyFill="1" applyBorder="1"/>
    <xf numFmtId="164" fontId="4" fillId="3" borderId="184" xfId="0" applyNumberFormat="1" applyFont="1" applyFill="1" applyBorder="1" applyAlignment="1" applyProtection="1">
      <alignment horizontal="left"/>
    </xf>
    <xf numFmtId="164" fontId="3" fillId="3" borderId="185" xfId="0" applyNumberFormat="1" applyFont="1" applyFill="1" applyBorder="1" applyAlignment="1" applyProtection="1">
      <alignment horizontal="left"/>
    </xf>
    <xf numFmtId="167" fontId="3" fillId="3" borderId="186" xfId="0" applyNumberFormat="1" applyFont="1" applyFill="1" applyBorder="1" applyAlignment="1" applyProtection="1">
      <alignment horizontal="right"/>
    </xf>
    <xf numFmtId="3" fontId="3" fillId="3" borderId="186" xfId="0" applyNumberFormat="1" applyFont="1" applyFill="1" applyBorder="1" applyAlignment="1" applyProtection="1">
      <alignment horizontal="right"/>
    </xf>
    <xf numFmtId="169" fontId="3" fillId="3" borderId="186" xfId="0" applyNumberFormat="1" applyFont="1" applyFill="1" applyBorder="1" applyAlignment="1" applyProtection="1">
      <alignment horizontal="right"/>
    </xf>
    <xf numFmtId="169" fontId="3" fillId="3" borderId="185" xfId="0" applyNumberFormat="1" applyFont="1" applyFill="1" applyBorder="1" applyAlignment="1" applyProtection="1">
      <alignment horizontal="right"/>
    </xf>
    <xf numFmtId="165" fontId="3" fillId="3" borderId="187" xfId="1" applyNumberFormat="1" applyFont="1" applyFill="1" applyBorder="1" applyAlignment="1" applyProtection="1">
      <alignment horizontal="right"/>
    </xf>
    <xf numFmtId="165" fontId="3" fillId="3" borderId="186" xfId="1" applyNumberFormat="1" applyFont="1" applyFill="1" applyBorder="1" applyAlignment="1" applyProtection="1">
      <alignment horizontal="right"/>
    </xf>
    <xf numFmtId="165" fontId="3" fillId="3" borderId="188" xfId="1" applyNumberFormat="1" applyFont="1" applyFill="1" applyBorder="1" applyAlignment="1" applyProtection="1">
      <alignment horizontal="right"/>
    </xf>
    <xf numFmtId="165" fontId="3" fillId="3" borderId="147" xfId="1" applyNumberFormat="1" applyFont="1" applyFill="1" applyBorder="1" applyAlignment="1" applyProtection="1">
      <alignment horizontal="right"/>
    </xf>
    <xf numFmtId="1" fontId="3" fillId="3" borderId="139" xfId="1" applyNumberFormat="1" applyFont="1" applyFill="1" applyBorder="1" applyAlignment="1" applyProtection="1">
      <alignment horizontal="right"/>
    </xf>
    <xf numFmtId="1" fontId="3" fillId="3" borderId="138" xfId="1" applyNumberFormat="1" applyFont="1" applyFill="1" applyBorder="1" applyAlignment="1" applyProtection="1">
      <alignment horizontal="right"/>
    </xf>
    <xf numFmtId="165" fontId="3" fillId="3" borderId="138" xfId="1" applyNumberFormat="1" applyFont="1" applyFill="1" applyBorder="1" applyAlignment="1" applyProtection="1">
      <alignment horizontal="right"/>
    </xf>
    <xf numFmtId="165" fontId="3" fillId="3" borderId="189" xfId="1" applyNumberFormat="1" applyFont="1" applyFill="1" applyBorder="1" applyAlignment="1" applyProtection="1">
      <alignment horizontal="right"/>
    </xf>
    <xf numFmtId="164" fontId="4" fillId="6" borderId="18" xfId="0" applyNumberFormat="1" applyFont="1" applyFill="1" applyBorder="1" applyAlignment="1" applyProtection="1">
      <alignment horizontal="left"/>
    </xf>
    <xf numFmtId="164" fontId="3" fillId="6" borderId="17" xfId="0" applyNumberFormat="1" applyFont="1" applyFill="1" applyBorder="1" applyAlignment="1" applyProtection="1">
      <alignment horizontal="left"/>
    </xf>
    <xf numFmtId="167" fontId="3" fillId="6" borderId="17" xfId="0" applyNumberFormat="1" applyFont="1" applyFill="1" applyBorder="1" applyAlignment="1" applyProtection="1">
      <alignment horizontal="center"/>
    </xf>
    <xf numFmtId="3" fontId="3" fillId="6" borderId="17" xfId="0" applyNumberFormat="1" applyFont="1" applyFill="1" applyBorder="1" applyAlignment="1" applyProtection="1">
      <alignment horizontal="center"/>
    </xf>
    <xf numFmtId="169" fontId="3" fillId="6" borderId="17" xfId="0" applyNumberFormat="1" applyFont="1" applyFill="1" applyBorder="1" applyAlignment="1" applyProtection="1">
      <alignment horizontal="center"/>
    </xf>
    <xf numFmtId="169" fontId="3" fillId="6" borderId="17" xfId="0" applyNumberFormat="1" applyFont="1" applyFill="1" applyBorder="1" applyAlignment="1">
      <alignment horizontal="center"/>
    </xf>
    <xf numFmtId="165" fontId="3" fillId="6" borderId="17" xfId="0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 applyProtection="1">
      <alignment horizontal="center"/>
    </xf>
    <xf numFmtId="169" fontId="3" fillId="6" borderId="17" xfId="1" applyNumberFormat="1" applyFont="1" applyFill="1" applyBorder="1" applyAlignment="1" applyProtection="1">
      <alignment horizontal="center"/>
    </xf>
    <xf numFmtId="169" fontId="3" fillId="6" borderId="20" xfId="0" applyNumberFormat="1" applyFont="1" applyFill="1" applyBorder="1" applyAlignment="1" applyProtection="1">
      <alignment horizontal="center"/>
    </xf>
    <xf numFmtId="1" fontId="3" fillId="6" borderId="20" xfId="0" applyNumberFormat="1" applyFont="1" applyFill="1" applyBorder="1" applyAlignment="1" applyProtection="1">
      <alignment horizontal="center"/>
    </xf>
    <xf numFmtId="167" fontId="3" fillId="6" borderId="178" xfId="0" applyNumberFormat="1" applyFont="1" applyFill="1" applyBorder="1" applyAlignment="1" applyProtection="1">
      <alignment horizontal="center"/>
    </xf>
    <xf numFmtId="3" fontId="3" fillId="6" borderId="178" xfId="0" applyNumberFormat="1" applyFont="1" applyFill="1" applyBorder="1" applyAlignment="1" applyProtection="1">
      <alignment horizontal="center"/>
    </xf>
    <xf numFmtId="169" fontId="3" fillId="6" borderId="178" xfId="0" applyNumberFormat="1" applyFont="1" applyFill="1" applyBorder="1" applyAlignment="1" applyProtection="1">
      <alignment horizontal="center"/>
    </xf>
    <xf numFmtId="169" fontId="3" fillId="6" borderId="178" xfId="0" applyNumberFormat="1" applyFont="1" applyFill="1" applyBorder="1" applyAlignment="1">
      <alignment horizontal="center"/>
    </xf>
    <xf numFmtId="165" fontId="3" fillId="6" borderId="178" xfId="0" applyNumberFormat="1" applyFont="1" applyFill="1" applyBorder="1" applyAlignment="1">
      <alignment horizontal="center"/>
    </xf>
    <xf numFmtId="165" fontId="3" fillId="6" borderId="178" xfId="1" applyNumberFormat="1" applyFont="1" applyFill="1" applyBorder="1" applyAlignment="1" applyProtection="1">
      <alignment horizontal="center"/>
    </xf>
    <xf numFmtId="169" fontId="3" fillId="6" borderId="178" xfId="1" applyNumberFormat="1" applyFont="1" applyFill="1" applyBorder="1" applyAlignment="1" applyProtection="1">
      <alignment horizontal="center"/>
    </xf>
    <xf numFmtId="169" fontId="3" fillId="6" borderId="181" xfId="0" applyNumberFormat="1" applyFont="1" applyFill="1" applyBorder="1" applyAlignment="1" applyProtection="1">
      <alignment horizontal="center"/>
    </xf>
    <xf numFmtId="1" fontId="3" fillId="6" borderId="181" xfId="0" applyNumberFormat="1" applyFont="1" applyFill="1" applyBorder="1" applyAlignment="1" applyProtection="1">
      <alignment horizontal="center"/>
    </xf>
    <xf numFmtId="169" fontId="3" fillId="6" borderId="182" xfId="0" applyNumberFormat="1" applyFont="1" applyFill="1" applyBorder="1" applyAlignment="1" applyProtection="1">
      <alignment horizontal="center"/>
    </xf>
    <xf numFmtId="164" fontId="3" fillId="3" borderId="160" xfId="0" applyNumberFormat="1" applyFont="1" applyFill="1" applyBorder="1" applyAlignment="1" applyProtection="1">
      <alignment horizontal="left"/>
    </xf>
    <xf numFmtId="169" fontId="3" fillId="0" borderId="166" xfId="0" applyNumberFormat="1" applyFont="1" applyBorder="1" applyAlignment="1">
      <alignment horizontal="right"/>
    </xf>
    <xf numFmtId="164" fontId="3" fillId="3" borderId="190" xfId="0" applyNumberFormat="1" applyFont="1" applyFill="1" applyBorder="1" applyAlignment="1" applyProtection="1">
      <alignment horizontal="left"/>
    </xf>
    <xf numFmtId="169" fontId="3" fillId="3" borderId="166" xfId="1" applyNumberFormat="1" applyFont="1" applyFill="1" applyBorder="1" applyAlignment="1" applyProtection="1">
      <alignment horizontal="right"/>
    </xf>
    <xf numFmtId="164" fontId="3" fillId="4" borderId="159" xfId="0" quotePrefix="1" applyNumberFormat="1" applyFont="1" applyFill="1" applyBorder="1" applyAlignment="1" applyProtection="1">
      <alignment horizontal="left"/>
    </xf>
    <xf numFmtId="164" fontId="4" fillId="3" borderId="191" xfId="0" applyNumberFormat="1" applyFont="1" applyFill="1" applyBorder="1" applyAlignment="1" applyProtection="1">
      <alignment horizontal="left"/>
    </xf>
    <xf numFmtId="164" fontId="4" fillId="3" borderId="192" xfId="0" applyNumberFormat="1" applyFont="1" applyFill="1" applyBorder="1" applyAlignment="1" applyProtection="1">
      <alignment horizontal="left"/>
    </xf>
    <xf numFmtId="3" fontId="3" fillId="3" borderId="193" xfId="0" applyNumberFormat="1" applyFont="1" applyFill="1" applyBorder="1" applyAlignment="1" applyProtection="1">
      <alignment horizontal="right"/>
    </xf>
    <xf numFmtId="169" fontId="3" fillId="3" borderId="194" xfId="0" applyNumberFormat="1" applyFont="1" applyFill="1" applyBorder="1" applyAlignment="1" applyProtection="1">
      <alignment horizontal="right"/>
    </xf>
    <xf numFmtId="165" fontId="3" fillId="3" borderId="195" xfId="1" applyNumberFormat="1" applyFont="1" applyFill="1" applyBorder="1" applyAlignment="1">
      <alignment horizontal="right"/>
    </xf>
    <xf numFmtId="3" fontId="3" fillId="3" borderId="175" xfId="0" applyNumberFormat="1" applyFont="1" applyFill="1" applyBorder="1" applyAlignment="1" applyProtection="1">
      <alignment horizontal="right"/>
    </xf>
    <xf numFmtId="169" fontId="3" fillId="6" borderId="19" xfId="0" applyNumberFormat="1" applyFont="1" applyFill="1" applyBorder="1" applyAlignment="1" applyProtection="1">
      <alignment horizontal="center"/>
    </xf>
    <xf numFmtId="167" fontId="3" fillId="6" borderId="146" xfId="0" applyNumberFormat="1" applyFont="1" applyFill="1" applyBorder="1" applyAlignment="1" applyProtection="1">
      <alignment horizontal="center"/>
    </xf>
    <xf numFmtId="3" fontId="3" fillId="6" borderId="146" xfId="0" applyNumberFormat="1" applyFont="1" applyFill="1" applyBorder="1" applyAlignment="1" applyProtection="1">
      <alignment horizontal="center"/>
    </xf>
    <xf numFmtId="169" fontId="3" fillId="6" borderId="146" xfId="0" applyNumberFormat="1" applyFont="1" applyFill="1" applyBorder="1" applyAlignment="1" applyProtection="1">
      <alignment horizontal="center"/>
    </xf>
    <xf numFmtId="169" fontId="3" fillId="6" borderId="146" xfId="0" applyNumberFormat="1" applyFont="1" applyFill="1" applyBorder="1" applyAlignment="1">
      <alignment horizontal="center"/>
    </xf>
    <xf numFmtId="165" fontId="3" fillId="6" borderId="146" xfId="0" applyNumberFormat="1" applyFont="1" applyFill="1" applyBorder="1" applyAlignment="1">
      <alignment horizontal="center"/>
    </xf>
    <xf numFmtId="165" fontId="3" fillId="6" borderId="146" xfId="1" applyNumberFormat="1" applyFont="1" applyFill="1" applyBorder="1" applyAlignment="1" applyProtection="1">
      <alignment horizontal="center"/>
    </xf>
    <xf numFmtId="169" fontId="3" fillId="6" borderId="146" xfId="1" applyNumberFormat="1" applyFont="1" applyFill="1" applyBorder="1" applyAlignment="1" applyProtection="1">
      <alignment horizontal="center"/>
    </xf>
    <xf numFmtId="1" fontId="3" fillId="6" borderId="146" xfId="0" applyNumberFormat="1" applyFont="1" applyFill="1" applyBorder="1" applyAlignment="1" applyProtection="1">
      <alignment horizontal="center"/>
    </xf>
    <xf numFmtId="169" fontId="3" fillId="6" borderId="151" xfId="0" applyNumberFormat="1" applyFont="1" applyFill="1" applyBorder="1" applyAlignment="1" applyProtection="1">
      <alignment horizontal="center"/>
    </xf>
    <xf numFmtId="169" fontId="3" fillId="6" borderId="150" xfId="0" applyNumberFormat="1" applyFont="1" applyFill="1" applyBorder="1" applyAlignment="1" applyProtection="1">
      <alignment horizontal="center"/>
    </xf>
    <xf numFmtId="169" fontId="3" fillId="6" borderId="144" xfId="0" applyNumberFormat="1" applyFont="1" applyFill="1" applyBorder="1" applyAlignment="1" applyProtection="1">
      <alignment horizontal="center"/>
    </xf>
    <xf numFmtId="1" fontId="3" fillId="6" borderId="146" xfId="1" applyNumberFormat="1" applyFont="1" applyFill="1" applyBorder="1" applyAlignment="1" applyProtection="1">
      <alignment horizontal="center"/>
    </xf>
    <xf numFmtId="169" fontId="3" fillId="6" borderId="151" xfId="1" applyNumberFormat="1" applyFont="1" applyFill="1" applyBorder="1" applyAlignment="1" applyProtection="1">
      <alignment horizontal="center"/>
    </xf>
    <xf numFmtId="164" fontId="4" fillId="0" borderId="145" xfId="0" applyNumberFormat="1" applyFont="1" applyFill="1" applyBorder="1" applyAlignment="1" applyProtection="1">
      <alignment horizontal="left"/>
    </xf>
    <xf numFmtId="164" fontId="3" fillId="0" borderId="146" xfId="0" applyNumberFormat="1" applyFont="1" applyFill="1" applyBorder="1" applyAlignment="1" applyProtection="1">
      <alignment horizontal="left"/>
    </xf>
    <xf numFmtId="167" fontId="3" fillId="0" borderId="146" xfId="0" applyNumberFormat="1" applyFont="1" applyFill="1" applyBorder="1" applyAlignment="1" applyProtection="1">
      <alignment horizontal="center"/>
    </xf>
    <xf numFmtId="3" fontId="3" fillId="0" borderId="146" xfId="0" applyNumberFormat="1" applyFont="1" applyFill="1" applyBorder="1" applyAlignment="1" applyProtection="1">
      <alignment horizontal="center"/>
    </xf>
    <xf numFmtId="169" fontId="3" fillId="0" borderId="146" xfId="0" applyNumberFormat="1" applyFont="1" applyFill="1" applyBorder="1" applyAlignment="1" applyProtection="1">
      <alignment horizontal="center"/>
    </xf>
    <xf numFmtId="169" fontId="3" fillId="0" borderId="146" xfId="0" applyNumberFormat="1" applyFont="1" applyFill="1" applyBorder="1" applyAlignment="1">
      <alignment horizontal="center"/>
    </xf>
    <xf numFmtId="169" fontId="3" fillId="0" borderId="150" xfId="0" applyNumberFormat="1" applyFont="1" applyFill="1" applyBorder="1" applyAlignment="1" applyProtection="1">
      <alignment horizontal="center"/>
    </xf>
    <xf numFmtId="165" fontId="3" fillId="0" borderId="146" xfId="0" applyNumberFormat="1" applyFont="1" applyFill="1" applyBorder="1" applyAlignment="1">
      <alignment horizontal="center"/>
    </xf>
    <xf numFmtId="165" fontId="3" fillId="0" borderId="146" xfId="1" applyNumberFormat="1" applyFont="1" applyFill="1" applyBorder="1" applyAlignment="1" applyProtection="1">
      <alignment horizontal="center"/>
    </xf>
    <xf numFmtId="169" fontId="3" fillId="0" borderId="146" xfId="1" applyNumberFormat="1" applyFont="1" applyFill="1" applyBorder="1" applyAlignment="1" applyProtection="1">
      <alignment horizontal="center"/>
    </xf>
    <xf numFmtId="169" fontId="3" fillId="0" borderId="144" xfId="0" applyNumberFormat="1" applyFont="1" applyFill="1" applyBorder="1" applyAlignment="1" applyProtection="1">
      <alignment horizontal="center"/>
    </xf>
    <xf numFmtId="1" fontId="3" fillId="0" borderId="144" xfId="0" applyNumberFormat="1" applyFont="1" applyFill="1" applyBorder="1" applyAlignment="1" applyProtection="1">
      <alignment horizontal="center"/>
    </xf>
    <xf numFmtId="169" fontId="3" fillId="0" borderId="151" xfId="0" applyNumberFormat="1" applyFont="1" applyFill="1" applyBorder="1" applyAlignment="1" applyProtection="1">
      <alignment horizontal="center"/>
    </xf>
    <xf numFmtId="167" fontId="4" fillId="3" borderId="4" xfId="0" applyNumberFormat="1" applyFont="1" applyFill="1" applyBorder="1" applyAlignment="1" applyProtection="1">
      <alignment horizontal="right"/>
    </xf>
    <xf numFmtId="165" fontId="3" fillId="3" borderId="36" xfId="0" applyNumberFormat="1" applyFont="1" applyFill="1" applyBorder="1" applyAlignment="1" applyProtection="1">
      <alignment horizontal="right"/>
    </xf>
    <xf numFmtId="165" fontId="3" fillId="3" borderId="146" xfId="0" applyNumberFormat="1" applyFont="1" applyFill="1" applyBorder="1" applyAlignment="1" applyProtection="1">
      <alignment horizontal="right"/>
    </xf>
    <xf numFmtId="164" fontId="4" fillId="6" borderId="146" xfId="0" applyNumberFormat="1" applyFont="1" applyFill="1" applyBorder="1" applyAlignment="1" applyProtection="1">
      <alignment horizontal="left"/>
    </xf>
    <xf numFmtId="167" fontId="4" fillId="6" borderId="146" xfId="0" applyNumberFormat="1" applyFont="1" applyFill="1" applyBorder="1" applyAlignment="1" applyProtection="1">
      <alignment horizontal="right"/>
    </xf>
    <xf numFmtId="165" fontId="3" fillId="6" borderId="146" xfId="0" applyNumberFormat="1" applyFont="1" applyFill="1" applyBorder="1" applyAlignment="1" applyProtection="1">
      <alignment horizontal="right"/>
    </xf>
    <xf numFmtId="1" fontId="3" fillId="6" borderId="146" xfId="0" applyNumberFormat="1" applyFont="1" applyFill="1" applyBorder="1" applyAlignment="1" applyProtection="1">
      <alignment horizontal="right"/>
    </xf>
    <xf numFmtId="169" fontId="3" fillId="6" borderId="151" xfId="0" applyNumberFormat="1" applyFont="1" applyFill="1" applyBorder="1" applyAlignment="1" applyProtection="1">
      <alignment horizontal="right"/>
    </xf>
    <xf numFmtId="164" fontId="3" fillId="3" borderId="196" xfId="0" applyNumberFormat="1" applyFont="1" applyFill="1" applyBorder="1" applyAlignment="1" applyProtection="1">
      <alignment horizontal="left"/>
    </xf>
    <xf numFmtId="164" fontId="3" fillId="2" borderId="190" xfId="0" applyFont="1" applyFill="1" applyBorder="1"/>
    <xf numFmtId="169" fontId="3" fillId="3" borderId="166" xfId="0" applyNumberFormat="1" applyFont="1" applyFill="1" applyBorder="1" applyAlignment="1">
      <alignment horizontal="right"/>
    </xf>
    <xf numFmtId="164" fontId="3" fillId="2" borderId="160" xfId="0" applyFont="1" applyFill="1" applyBorder="1"/>
    <xf numFmtId="164" fontId="4" fillId="2" borderId="197" xfId="0" applyFont="1" applyFill="1" applyBorder="1"/>
    <xf numFmtId="164" fontId="3" fillId="2" borderId="139" xfId="0" applyFont="1" applyFill="1" applyBorder="1"/>
    <xf numFmtId="167" fontId="3" fillId="2" borderId="139" xfId="0" applyNumberFormat="1" applyFont="1" applyFill="1" applyBorder="1" applyAlignment="1" applyProtection="1">
      <alignment horizontal="right"/>
    </xf>
    <xf numFmtId="3" fontId="3" fillId="2" borderId="139" xfId="0" applyNumberFormat="1" applyFont="1" applyFill="1" applyBorder="1" applyAlignment="1" applyProtection="1">
      <alignment horizontal="right"/>
    </xf>
    <xf numFmtId="169" fontId="3" fillId="2" borderId="139" xfId="0" applyNumberFormat="1" applyFont="1" applyFill="1" applyBorder="1" applyAlignment="1" applyProtection="1">
      <alignment horizontal="right"/>
    </xf>
    <xf numFmtId="169" fontId="3" fillId="3" borderId="139" xfId="0" applyNumberFormat="1" applyFont="1" applyFill="1" applyBorder="1" applyAlignment="1">
      <alignment horizontal="right"/>
    </xf>
    <xf numFmtId="165" fontId="3" fillId="2" borderId="139" xfId="1" applyNumberFormat="1" applyFont="1" applyFill="1" applyBorder="1" applyAlignment="1" applyProtection="1">
      <alignment horizontal="right"/>
    </xf>
    <xf numFmtId="169" fontId="3" fillId="2" borderId="139" xfId="1" applyNumberFormat="1" applyFont="1" applyFill="1" applyBorder="1" applyAlignment="1" applyProtection="1">
      <alignment horizontal="right"/>
    </xf>
    <xf numFmtId="169" fontId="3" fillId="3" borderId="151" xfId="0" applyNumberFormat="1" applyFont="1" applyFill="1" applyBorder="1" applyAlignment="1">
      <alignment horizontal="right"/>
    </xf>
    <xf numFmtId="164" fontId="4" fillId="3" borderId="167" xfId="0" applyNumberFormat="1" applyFont="1" applyFill="1" applyBorder="1" applyAlignment="1" applyProtection="1">
      <alignment horizontal="left"/>
    </xf>
    <xf numFmtId="164" fontId="4" fillId="3" borderId="162" xfId="0" applyNumberFormat="1" applyFont="1" applyFill="1" applyBorder="1" applyAlignment="1" applyProtection="1">
      <alignment horizontal="left"/>
    </xf>
    <xf numFmtId="164" fontId="3" fillId="4" borderId="161" xfId="0" applyNumberFormat="1" applyFont="1" applyFill="1" applyBorder="1" applyAlignment="1" applyProtection="1">
      <alignment horizontal="left"/>
    </xf>
    <xf numFmtId="164" fontId="3" fillId="4" borderId="154" xfId="0" applyNumberFormat="1" applyFont="1" applyFill="1" applyBorder="1" applyAlignment="1" applyProtection="1">
      <alignment horizontal="left"/>
    </xf>
    <xf numFmtId="164" fontId="3" fillId="4" borderId="162" xfId="0" applyNumberFormat="1" applyFont="1" applyFill="1" applyBorder="1" applyAlignment="1" applyProtection="1">
      <alignment horizontal="left"/>
    </xf>
    <xf numFmtId="164" fontId="3" fillId="3" borderId="162" xfId="0" applyFont="1" applyFill="1" applyBorder="1" applyAlignment="1" applyProtection="1">
      <alignment horizontal="left"/>
    </xf>
    <xf numFmtId="164" fontId="3" fillId="3" borderId="152" xfId="0" applyFont="1" applyFill="1" applyBorder="1" applyAlignment="1" applyProtection="1">
      <alignment horizontal="left"/>
    </xf>
    <xf numFmtId="164" fontId="3" fillId="3" borderId="190" xfId="0" applyFont="1" applyFill="1" applyBorder="1" applyAlignment="1" applyProtection="1">
      <alignment horizontal="left"/>
    </xf>
    <xf numFmtId="164" fontId="3" fillId="3" borderId="161" xfId="0" applyFont="1" applyFill="1" applyBorder="1" applyAlignment="1" applyProtection="1">
      <alignment horizontal="left"/>
    </xf>
    <xf numFmtId="164" fontId="3" fillId="3" borderId="154" xfId="0" applyFont="1" applyFill="1" applyBorder="1" applyAlignment="1" applyProtection="1">
      <alignment horizontal="left"/>
    </xf>
    <xf numFmtId="164" fontId="3" fillId="4" borderId="167" xfId="0" applyNumberFormat="1" applyFont="1" applyFill="1" applyBorder="1" applyAlignment="1" applyProtection="1">
      <alignment horizontal="left"/>
    </xf>
    <xf numFmtId="164" fontId="3" fillId="3" borderId="160" xfId="0" applyFont="1" applyFill="1" applyBorder="1" applyAlignment="1" applyProtection="1">
      <alignment horizontal="left"/>
    </xf>
    <xf numFmtId="164" fontId="3" fillId="3" borderId="165" xfId="0" applyFont="1" applyFill="1" applyBorder="1" applyAlignment="1" applyProtection="1">
      <alignment horizontal="left"/>
    </xf>
    <xf numFmtId="167" fontId="3" fillId="3" borderId="198" xfId="0" applyNumberFormat="1" applyFont="1" applyFill="1" applyBorder="1" applyAlignment="1" applyProtection="1">
      <alignment horizontal="right"/>
    </xf>
    <xf numFmtId="169" fontId="3" fillId="3" borderId="198" xfId="0" applyNumberFormat="1" applyFont="1" applyFill="1" applyBorder="1" applyAlignment="1" applyProtection="1">
      <alignment horizontal="right"/>
    </xf>
    <xf numFmtId="3" fontId="3" fillId="3" borderId="198" xfId="0" applyNumberFormat="1" applyFont="1" applyFill="1" applyBorder="1" applyAlignment="1" applyProtection="1">
      <alignment horizontal="right"/>
    </xf>
    <xf numFmtId="1" fontId="3" fillId="3" borderId="198" xfId="0" applyNumberFormat="1" applyFont="1" applyFill="1" applyBorder="1" applyAlignment="1" applyProtection="1">
      <alignment horizontal="right"/>
    </xf>
    <xf numFmtId="169" fontId="3" fillId="6" borderId="199" xfId="0" applyNumberFormat="1" applyFont="1" applyFill="1" applyBorder="1" applyAlignment="1" applyProtection="1">
      <alignment horizontal="center"/>
    </xf>
    <xf numFmtId="164" fontId="3" fillId="4" borderId="152" xfId="0" applyNumberFormat="1" applyFont="1" applyFill="1" applyBorder="1" applyAlignment="1" applyProtection="1">
      <alignment horizontal="left"/>
    </xf>
    <xf numFmtId="164" fontId="3" fillId="3" borderId="169" xfId="0" applyFont="1" applyFill="1" applyBorder="1" applyAlignment="1" applyProtection="1">
      <alignment horizontal="left"/>
    </xf>
    <xf numFmtId="2" fontId="3" fillId="3" borderId="200" xfId="0" applyNumberFormat="1" applyFont="1" applyFill="1" applyBorder="1" applyAlignment="1" applyProtection="1">
      <alignment horizontal="left"/>
    </xf>
    <xf numFmtId="164" fontId="3" fillId="4" borderId="161" xfId="0" quotePrefix="1" applyNumberFormat="1" applyFont="1" applyFill="1" applyBorder="1" applyAlignment="1" applyProtection="1">
      <alignment horizontal="left"/>
    </xf>
    <xf numFmtId="164" fontId="3" fillId="0" borderId="183" xfId="0" applyFont="1" applyBorder="1"/>
    <xf numFmtId="169" fontId="3" fillId="3" borderId="201" xfId="0" applyNumberFormat="1" applyFont="1" applyFill="1" applyBorder="1" applyAlignment="1" applyProtection="1">
      <alignment horizontal="right"/>
    </xf>
    <xf numFmtId="164" fontId="4" fillId="3" borderId="165" xfId="0" applyFont="1" applyFill="1" applyBorder="1"/>
    <xf numFmtId="169" fontId="3" fillId="3" borderId="202" xfId="0" applyNumberFormat="1" applyFont="1" applyFill="1" applyBorder="1" applyAlignment="1" applyProtection="1">
      <alignment horizontal="right"/>
    </xf>
    <xf numFmtId="164" fontId="3" fillId="3" borderId="203" xfId="0" applyFont="1" applyFill="1" applyBorder="1"/>
    <xf numFmtId="164" fontId="3" fillId="3" borderId="154" xfId="0" quotePrefix="1" applyNumberFormat="1" applyFont="1" applyFill="1" applyBorder="1" applyAlignment="1" applyProtection="1">
      <alignment horizontal="left"/>
    </xf>
    <xf numFmtId="164" fontId="3" fillId="3" borderId="161" xfId="0" quotePrefix="1" applyNumberFormat="1" applyFont="1" applyFill="1" applyBorder="1" applyAlignment="1" applyProtection="1">
      <alignment horizontal="left"/>
    </xf>
    <xf numFmtId="3" fontId="3" fillId="2" borderId="139" xfId="1" applyNumberFormat="1" applyFont="1" applyFill="1" applyBorder="1" applyAlignment="1" applyProtection="1">
      <alignment horizontal="right"/>
    </xf>
    <xf numFmtId="0" fontId="3" fillId="3" borderId="145" xfId="0" applyNumberFormat="1" applyFont="1" applyFill="1" applyBorder="1"/>
    <xf numFmtId="165" fontId="3" fillId="3" borderId="151" xfId="0" applyNumberFormat="1" applyFont="1" applyFill="1" applyBorder="1" applyAlignment="1" applyProtection="1">
      <alignment horizontal="right"/>
    </xf>
    <xf numFmtId="165" fontId="3" fillId="0" borderId="51" xfId="1" applyNumberFormat="1" applyFont="1" applyFill="1" applyBorder="1" applyAlignment="1">
      <alignment horizontal="right"/>
    </xf>
    <xf numFmtId="37" fontId="9" fillId="0" borderId="53" xfId="0" applyNumberFormat="1" applyFont="1" applyBorder="1"/>
    <xf numFmtId="37" fontId="9" fillId="0" borderId="53" xfId="0" applyNumberFormat="1" applyFont="1" applyFill="1" applyBorder="1"/>
    <xf numFmtId="4" fontId="3" fillId="0" borderId="0" xfId="0" applyNumberFormat="1" applyFont="1" applyFill="1" applyBorder="1" applyProtection="1"/>
    <xf numFmtId="164" fontId="3" fillId="0" borderId="145" xfId="0" applyFont="1" applyBorder="1"/>
    <xf numFmtId="164" fontId="3" fillId="0" borderId="146" xfId="0" applyFont="1" applyBorder="1"/>
    <xf numFmtId="169" fontId="4" fillId="3" borderId="151" xfId="0" applyNumberFormat="1" applyFont="1" applyFill="1" applyBorder="1" applyAlignment="1">
      <alignment horizontal="right"/>
    </xf>
    <xf numFmtId="0" fontId="9" fillId="0" borderId="49" xfId="0" applyNumberFormat="1" applyFont="1" applyFill="1" applyBorder="1" applyAlignment="1">
      <alignment horizontal="center" textRotation="90" wrapText="1"/>
    </xf>
    <xf numFmtId="164" fontId="0" fillId="0" borderId="36" xfId="0" applyBorder="1"/>
    <xf numFmtId="164" fontId="0" fillId="0" borderId="56" xfId="0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ls.gov/news.release/pdf/e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412" codeName="Sheet1"/>
  <dimension ref="A1:IV741"/>
  <sheetViews>
    <sheetView tabSelected="1" topLeftCell="A412" zoomScaleNormal="100" workbookViewId="0">
      <selection activeCell="S444" sqref="S444"/>
    </sheetView>
  </sheetViews>
  <sheetFormatPr defaultColWidth="9.6640625" defaultRowHeight="11.25"/>
  <cols>
    <col min="1" max="1" width="2.1640625" style="1" customWidth="1"/>
    <col min="2" max="2" width="50.5" style="1" customWidth="1"/>
    <col min="3" max="4" width="7.33203125" style="1" customWidth="1"/>
    <col min="5" max="5" width="8" style="1" customWidth="1"/>
    <col min="6" max="6" width="7.1640625" style="1" customWidth="1"/>
    <col min="7" max="7" width="9.1640625" style="1" customWidth="1"/>
    <col min="8" max="8" width="8.1640625" style="1" customWidth="1"/>
    <col min="9" max="9" width="10.6640625" style="1" hidden="1" customWidth="1"/>
    <col min="10" max="10" width="11.1640625" style="1" hidden="1" customWidth="1"/>
    <col min="11" max="11" width="3.83203125" style="1" hidden="1" customWidth="1"/>
    <col min="12" max="12" width="8.83203125" style="1" customWidth="1"/>
    <col min="13" max="13" width="7.5" style="1" customWidth="1"/>
    <col min="14" max="14" width="8.5" style="1" customWidth="1"/>
    <col min="15" max="15" width="10.83203125" style="1" customWidth="1"/>
    <col min="16" max="16" width="8.83203125" style="1" customWidth="1"/>
    <col min="17" max="17" width="9.33203125" style="1" customWidth="1"/>
    <col min="18" max="18" width="10.5" style="1" customWidth="1"/>
    <col min="19" max="19" width="11.33203125" style="1" customWidth="1"/>
    <col min="20" max="20" width="7.5" style="1" customWidth="1"/>
    <col min="21" max="21" width="13.83203125" style="1" customWidth="1"/>
    <col min="22" max="22" width="10.6640625" style="1" customWidth="1"/>
    <col min="23" max="23" width="11.5" style="1" customWidth="1"/>
    <col min="24" max="24" width="13.5" style="1" customWidth="1"/>
    <col min="25" max="25" width="11.33203125" style="1" customWidth="1"/>
    <col min="26" max="26" width="10.6640625" style="1" customWidth="1"/>
    <col min="27" max="27" width="30.83203125" style="1" customWidth="1"/>
    <col min="28" max="28" width="25.6640625" style="1" customWidth="1"/>
    <col min="29" max="29" width="29.33203125" style="1" customWidth="1"/>
    <col min="30" max="30" width="14.1640625" style="1" customWidth="1"/>
    <col min="31" max="31" width="15.6640625" style="1" customWidth="1"/>
    <col min="32" max="32" width="17.83203125" style="1" customWidth="1"/>
    <col min="33" max="33" width="19" style="1" customWidth="1"/>
    <col min="34" max="16384" width="9.6640625" style="86"/>
  </cols>
  <sheetData>
    <row r="1" spans="1:250" ht="27.75" customHeight="1">
      <c r="P1" s="1" t="s">
        <v>311</v>
      </c>
      <c r="Q1" s="686" t="s">
        <v>430</v>
      </c>
      <c r="R1" s="1" t="s">
        <v>342</v>
      </c>
      <c r="S1" s="1" t="s">
        <v>343</v>
      </c>
      <c r="T1" s="1" t="s">
        <v>344</v>
      </c>
      <c r="U1" s="1" t="s">
        <v>310</v>
      </c>
      <c r="V1" s="1" t="s">
        <v>312</v>
      </c>
      <c r="W1" s="1" t="s">
        <v>320</v>
      </c>
      <c r="Y1" s="1" t="s">
        <v>321</v>
      </c>
      <c r="Z1" s="1" t="s">
        <v>392</v>
      </c>
    </row>
    <row r="2" spans="1:250" s="742" customFormat="1">
      <c r="A2" s="687"/>
      <c r="B2" s="688" t="s">
        <v>5</v>
      </c>
      <c r="C2" s="689" t="s">
        <v>6</v>
      </c>
      <c r="D2" s="690" t="s">
        <v>7</v>
      </c>
      <c r="E2" s="689" t="s">
        <v>8</v>
      </c>
      <c r="F2" s="689" t="s">
        <v>9</v>
      </c>
      <c r="G2" s="689" t="s">
        <v>10</v>
      </c>
      <c r="H2" s="691"/>
      <c r="I2" s="692"/>
      <c r="J2" s="692"/>
      <c r="K2" s="692"/>
      <c r="L2" s="693"/>
      <c r="M2" s="694"/>
      <c r="N2" s="694"/>
      <c r="O2" s="695" t="s">
        <v>294</v>
      </c>
      <c r="P2" s="696">
        <f t="shared" ref="P2:P7" si="0">SUM(Q2,R2,S2)/3</f>
        <v>26</v>
      </c>
      <c r="Q2" s="697">
        <v>61</v>
      </c>
      <c r="R2" s="697">
        <f>11+6</f>
        <v>17</v>
      </c>
      <c r="S2" s="698">
        <v>0</v>
      </c>
      <c r="T2" s="687">
        <f t="shared" ref="T2:T7" si="1">SUM(Q2,R2,S2)</f>
        <v>78</v>
      </c>
      <c r="U2" s="687">
        <v>78</v>
      </c>
      <c r="V2" s="710">
        <f t="shared" ref="V2:V7" si="2">U2/3</f>
        <v>26</v>
      </c>
      <c r="W2" s="687">
        <v>15</v>
      </c>
      <c r="X2" s="687"/>
      <c r="Y2" s="687">
        <f>T2-W2</f>
        <v>63</v>
      </c>
      <c r="Z2" s="687">
        <v>0</v>
      </c>
      <c r="AA2" s="687"/>
      <c r="AB2" s="687"/>
      <c r="AC2" s="699"/>
      <c r="AD2" s="687"/>
      <c r="AE2" s="687"/>
      <c r="AF2" s="687"/>
      <c r="AG2" s="687"/>
    </row>
    <row r="3" spans="1:250" s="742" customFormat="1">
      <c r="A3" s="687"/>
      <c r="B3" s="700" t="s">
        <v>358</v>
      </c>
      <c r="C3" s="691">
        <v>79.55</v>
      </c>
      <c r="D3" s="691">
        <v>68.28</v>
      </c>
      <c r="E3" s="691">
        <v>54.15</v>
      </c>
      <c r="F3" s="691">
        <v>26.32</v>
      </c>
      <c r="G3" s="691"/>
      <c r="H3" s="691"/>
      <c r="I3" s="692"/>
      <c r="J3" s="692"/>
      <c r="K3" s="692"/>
      <c r="L3" s="693"/>
      <c r="M3" s="694"/>
      <c r="N3" s="694"/>
      <c r="O3" s="695" t="s">
        <v>295</v>
      </c>
      <c r="P3" s="696">
        <f t="shared" si="0"/>
        <v>4.666666666666667</v>
      </c>
      <c r="Q3" s="697">
        <v>14</v>
      </c>
      <c r="R3" s="697"/>
      <c r="S3" s="698"/>
      <c r="T3" s="687">
        <f t="shared" si="1"/>
        <v>14</v>
      </c>
      <c r="U3" s="699">
        <v>14</v>
      </c>
      <c r="V3" s="710">
        <f t="shared" si="2"/>
        <v>4.666666666666667</v>
      </c>
      <c r="W3" s="687"/>
      <c r="X3" s="687"/>
      <c r="Y3" s="687"/>
      <c r="Z3" s="687">
        <v>0</v>
      </c>
      <c r="AA3" s="687"/>
      <c r="AB3" s="687"/>
      <c r="AC3" s="687"/>
      <c r="AD3" s="687"/>
      <c r="AE3" s="687"/>
      <c r="AF3" s="687"/>
      <c r="AG3" s="687"/>
    </row>
    <row r="4" spans="1:250" s="742" customFormat="1">
      <c r="A4" s="687"/>
      <c r="B4" s="701" t="s">
        <v>359</v>
      </c>
      <c r="C4" s="704">
        <v>1.4</v>
      </c>
      <c r="D4" s="704">
        <v>1.4</v>
      </c>
      <c r="E4" s="704">
        <v>1.4</v>
      </c>
      <c r="F4" s="704">
        <v>1.4</v>
      </c>
      <c r="G4" s="691"/>
      <c r="H4" s="691"/>
      <c r="I4" s="692"/>
      <c r="J4" s="692"/>
      <c r="K4" s="692"/>
      <c r="L4" s="693"/>
      <c r="M4" s="694"/>
      <c r="N4" s="694"/>
      <c r="O4" s="695" t="s">
        <v>296</v>
      </c>
      <c r="P4" s="696">
        <f t="shared" si="0"/>
        <v>1.3333333333333333</v>
      </c>
      <c r="Q4" s="697">
        <v>4</v>
      </c>
      <c r="R4" s="697"/>
      <c r="S4" s="698"/>
      <c r="T4" s="687">
        <f t="shared" si="1"/>
        <v>4</v>
      </c>
      <c r="U4" s="699">
        <v>3</v>
      </c>
      <c r="V4" s="710">
        <f t="shared" si="2"/>
        <v>1</v>
      </c>
      <c r="W4" s="687"/>
      <c r="X4" s="687"/>
      <c r="Y4" s="687"/>
      <c r="Z4" s="687">
        <v>0</v>
      </c>
      <c r="AA4" s="687"/>
      <c r="AB4" s="687"/>
      <c r="AC4" s="687"/>
      <c r="AD4" s="687"/>
      <c r="AE4" s="687"/>
      <c r="AF4" s="687"/>
      <c r="AG4" s="687"/>
    </row>
    <row r="5" spans="1:250" s="742" customFormat="1">
      <c r="A5" s="687"/>
      <c r="B5" s="703" t="s">
        <v>309</v>
      </c>
      <c r="C5" s="704">
        <f>C3*C4</f>
        <v>111.36999999999999</v>
      </c>
      <c r="D5" s="704">
        <f>D3*D4</f>
        <v>95.591999999999999</v>
      </c>
      <c r="E5" s="704">
        <f>E3*E4</f>
        <v>75.809999999999988</v>
      </c>
      <c r="F5" s="704">
        <f>F3*F4</f>
        <v>36.847999999999999</v>
      </c>
      <c r="G5" s="704">
        <f>D5</f>
        <v>95.591999999999999</v>
      </c>
      <c r="H5" s="691"/>
      <c r="I5" s="692"/>
      <c r="J5" s="692"/>
      <c r="K5" s="692"/>
      <c r="L5" s="693"/>
      <c r="M5" s="694"/>
      <c r="N5" s="694"/>
      <c r="O5" s="695" t="s">
        <v>297</v>
      </c>
      <c r="P5" s="696">
        <f t="shared" si="0"/>
        <v>25</v>
      </c>
      <c r="Q5" s="697">
        <v>75</v>
      </c>
      <c r="R5" s="702"/>
      <c r="S5" s="698"/>
      <c r="T5" s="687">
        <f t="shared" si="1"/>
        <v>75</v>
      </c>
      <c r="U5" s="801">
        <v>53</v>
      </c>
      <c r="V5" s="710">
        <f t="shared" si="2"/>
        <v>17.666666666666668</v>
      </c>
      <c r="W5" s="687"/>
      <c r="X5" s="687"/>
      <c r="Y5" s="687"/>
      <c r="Z5" s="687">
        <v>0</v>
      </c>
      <c r="AA5" s="687"/>
      <c r="AB5" s="687"/>
      <c r="AC5" s="687"/>
      <c r="AD5" s="687"/>
      <c r="AE5" s="687"/>
      <c r="AF5" s="687"/>
      <c r="AG5" s="687"/>
    </row>
    <row r="6" spans="1:250" s="742" customFormat="1" ht="11.25" customHeight="1">
      <c r="A6" s="687"/>
      <c r="B6" s="687"/>
      <c r="C6" s="687"/>
      <c r="D6" s="687"/>
      <c r="E6" s="687"/>
      <c r="F6" s="687"/>
      <c r="G6" s="687"/>
      <c r="H6" s="691"/>
      <c r="I6" s="692"/>
      <c r="J6" s="692"/>
      <c r="K6" s="692"/>
      <c r="L6" s="693"/>
      <c r="M6" s="694"/>
      <c r="N6" s="694"/>
      <c r="O6" s="695" t="s">
        <v>298</v>
      </c>
      <c r="P6" s="696">
        <f t="shared" si="0"/>
        <v>2.3333333333333335</v>
      </c>
      <c r="Q6" s="697">
        <v>7</v>
      </c>
      <c r="R6" s="697"/>
      <c r="S6" s="705"/>
      <c r="T6" s="687">
        <f t="shared" si="1"/>
        <v>7</v>
      </c>
      <c r="U6" s="699">
        <v>4</v>
      </c>
      <c r="V6" s="710">
        <f t="shared" si="2"/>
        <v>1.3333333333333333</v>
      </c>
      <c r="W6" s="687"/>
      <c r="X6" s="687"/>
      <c r="Y6" s="687"/>
      <c r="Z6" s="687">
        <v>0</v>
      </c>
      <c r="AA6" s="687"/>
      <c r="AB6" s="687"/>
      <c r="AC6" s="687"/>
      <c r="AD6" s="687"/>
      <c r="AE6" s="687"/>
      <c r="AF6" s="687"/>
      <c r="AG6" s="687"/>
    </row>
    <row r="7" spans="1:250" s="742" customFormat="1">
      <c r="A7" s="687"/>
      <c r="B7" s="706" t="s">
        <v>12</v>
      </c>
      <c r="C7" s="689" t="s">
        <v>6</v>
      </c>
      <c r="D7" s="689" t="s">
        <v>7</v>
      </c>
      <c r="E7" s="689" t="s">
        <v>8</v>
      </c>
      <c r="F7" s="689" t="s">
        <v>9</v>
      </c>
      <c r="G7" s="689" t="s">
        <v>10</v>
      </c>
      <c r="H7" s="691"/>
      <c r="I7" s="692"/>
      <c r="J7" s="692"/>
      <c r="K7" s="692"/>
      <c r="L7" s="693"/>
      <c r="M7" s="694"/>
      <c r="N7" s="694"/>
      <c r="O7" s="695" t="s">
        <v>299</v>
      </c>
      <c r="P7" s="696">
        <f t="shared" si="0"/>
        <v>4.666666666666667</v>
      </c>
      <c r="Q7" s="697">
        <v>14</v>
      </c>
      <c r="R7" s="697"/>
      <c r="S7" s="705"/>
      <c r="T7" s="687">
        <f t="shared" si="1"/>
        <v>14</v>
      </c>
      <c r="U7" s="699">
        <v>8</v>
      </c>
      <c r="V7" s="710">
        <f t="shared" si="2"/>
        <v>2.6666666666666665</v>
      </c>
      <c r="W7" s="687"/>
      <c r="X7" s="687"/>
      <c r="Y7" s="687"/>
      <c r="Z7" s="687">
        <v>0</v>
      </c>
      <c r="AA7" s="687"/>
      <c r="AB7" s="687"/>
      <c r="AC7" s="687"/>
      <c r="AD7" s="687"/>
      <c r="AE7" s="687"/>
      <c r="AF7" s="687"/>
      <c r="AG7" s="687"/>
    </row>
    <row r="8" spans="1:250" s="742" customFormat="1">
      <c r="A8" s="687"/>
      <c r="B8" s="706"/>
      <c r="C8" s="689"/>
      <c r="D8" s="689"/>
      <c r="E8" s="689"/>
      <c r="F8" s="689"/>
      <c r="G8" s="689"/>
      <c r="H8" s="691"/>
      <c r="I8" s="692"/>
      <c r="J8" s="692"/>
      <c r="K8" s="692"/>
      <c r="L8" s="693"/>
      <c r="M8" s="694"/>
      <c r="N8" s="694"/>
      <c r="O8" s="695" t="s">
        <v>345</v>
      </c>
      <c r="P8" s="696">
        <f>SUM(P2:P4)</f>
        <v>32</v>
      </c>
      <c r="Q8" s="782">
        <f>SUM(Q2:Q4)</f>
        <v>79</v>
      </c>
      <c r="R8" s="697"/>
      <c r="S8" s="705"/>
      <c r="T8" s="782">
        <f>SUM(T2:T4)</f>
        <v>96</v>
      </c>
      <c r="U8" s="782"/>
      <c r="V8" s="710"/>
      <c r="W8" s="687"/>
      <c r="X8" s="687"/>
      <c r="Y8" s="687"/>
      <c r="Z8" s="782">
        <f>SUM(Z2:Z4)</f>
        <v>0</v>
      </c>
      <c r="AA8" s="782"/>
      <c r="AB8" s="782"/>
      <c r="AC8" s="687"/>
      <c r="AD8" s="687"/>
      <c r="AE8" s="687"/>
      <c r="AF8" s="687"/>
      <c r="AG8" s="687"/>
    </row>
    <row r="9" spans="1:250" s="742" customFormat="1">
      <c r="A9" s="687"/>
      <c r="B9" s="701" t="s">
        <v>13</v>
      </c>
      <c r="C9" s="691">
        <v>55.69</v>
      </c>
      <c r="D9" s="691">
        <v>47.74</v>
      </c>
      <c r="E9" s="691">
        <v>34.340000000000003</v>
      </c>
      <c r="F9" s="691">
        <v>19</v>
      </c>
      <c r="G9" s="691"/>
      <c r="H9" s="691"/>
      <c r="I9" s="692"/>
      <c r="J9" s="692"/>
      <c r="K9" s="692"/>
      <c r="L9" s="693"/>
      <c r="M9" s="694"/>
      <c r="N9" s="694"/>
      <c r="O9" s="695" t="s">
        <v>300</v>
      </c>
      <c r="P9" s="696">
        <f>SUM(P5:P7)</f>
        <v>32</v>
      </c>
      <c r="Q9" s="782">
        <f>SUM(Q3:Q5)</f>
        <v>93</v>
      </c>
      <c r="R9" s="697"/>
      <c r="S9" s="702"/>
      <c r="T9" s="782">
        <f>SUM(T3:T5)</f>
        <v>93</v>
      </c>
      <c r="U9" s="782"/>
      <c r="V9" s="710"/>
      <c r="W9" s="687"/>
      <c r="X9" s="687"/>
      <c r="Y9" s="687"/>
      <c r="Z9" s="782">
        <f>SUM(Z3:Z5)</f>
        <v>0</v>
      </c>
      <c r="AA9" s="782"/>
      <c r="AB9" s="782"/>
      <c r="AC9" s="687"/>
      <c r="AD9" s="687"/>
      <c r="AE9" s="687"/>
      <c r="AF9" s="687"/>
      <c r="AG9" s="687"/>
      <c r="AS9" s="1160"/>
    </row>
    <row r="10" spans="1:250" s="742" customFormat="1">
      <c r="A10" s="687"/>
      <c r="B10" s="701" t="s">
        <v>11</v>
      </c>
      <c r="C10" s="691">
        <v>1.6</v>
      </c>
      <c r="D10" s="691">
        <v>1.6</v>
      </c>
      <c r="E10" s="691">
        <f>D10</f>
        <v>1.6</v>
      </c>
      <c r="F10" s="691">
        <f>E10</f>
        <v>1.6</v>
      </c>
      <c r="G10" s="691"/>
      <c r="H10" s="691"/>
      <c r="I10" s="692"/>
      <c r="J10" s="692"/>
      <c r="K10" s="692"/>
      <c r="L10" s="693"/>
      <c r="M10" s="694"/>
      <c r="N10" s="694"/>
      <c r="O10" s="695" t="s">
        <v>319</v>
      </c>
      <c r="P10" s="696">
        <f>SUM(P2:P7)</f>
        <v>64</v>
      </c>
      <c r="Q10" s="697">
        <f>SUM(Q2:Q7)</f>
        <v>175</v>
      </c>
      <c r="R10" s="707"/>
      <c r="S10" s="694"/>
      <c r="T10" s="697">
        <f>SUM(T2:T7)</f>
        <v>192</v>
      </c>
      <c r="U10" s="697">
        <v>151</v>
      </c>
      <c r="V10" s="697">
        <f>U10/3</f>
        <v>50.333333333333336</v>
      </c>
      <c r="W10" s="687"/>
      <c r="X10" s="687"/>
      <c r="Y10" s="687"/>
      <c r="Z10" s="697">
        <f>SUM(Z2:Z7)</f>
        <v>0</v>
      </c>
      <c r="AA10" s="697"/>
      <c r="AB10" s="697"/>
      <c r="AC10" s="687"/>
      <c r="AD10" s="687"/>
      <c r="AE10" s="687"/>
      <c r="AF10" s="687"/>
      <c r="AG10" s="687"/>
    </row>
    <row r="11" spans="1:250" s="742" customFormat="1">
      <c r="A11" s="687"/>
      <c r="B11" s="701" t="s">
        <v>14</v>
      </c>
      <c r="C11" s="704">
        <f>C9*C10</f>
        <v>89.103999999999999</v>
      </c>
      <c r="D11" s="704">
        <f>D9*D10</f>
        <v>76.384</v>
      </c>
      <c r="E11" s="704">
        <f>E9*E10</f>
        <v>54.94400000000001</v>
      </c>
      <c r="F11" s="704">
        <f>F9*F10</f>
        <v>30.400000000000002</v>
      </c>
      <c r="G11" s="704">
        <f>D11</f>
        <v>76.384</v>
      </c>
      <c r="H11" s="691"/>
      <c r="I11" s="692"/>
      <c r="J11" s="692"/>
      <c r="K11" s="692"/>
      <c r="L11" s="693"/>
      <c r="M11" s="694"/>
      <c r="N11" s="694"/>
      <c r="O11" s="695"/>
      <c r="P11" s="696"/>
      <c r="Q11" s="707"/>
      <c r="R11" s="708"/>
      <c r="S11" s="709"/>
      <c r="T11" s="699"/>
      <c r="U11" s="687"/>
      <c r="V11" s="687"/>
      <c r="W11" s="687"/>
      <c r="X11" s="687"/>
      <c r="Y11" s="687"/>
      <c r="Z11" s="687"/>
      <c r="AA11" s="687"/>
      <c r="AB11" s="687"/>
      <c r="AC11" s="687"/>
      <c r="AD11" s="687"/>
      <c r="AE11" s="687"/>
      <c r="AF11" s="687"/>
      <c r="AG11" s="687"/>
    </row>
    <row r="12" spans="1:250">
      <c r="A12" s="10"/>
      <c r="B12" s="10"/>
      <c r="C12" s="11"/>
      <c r="D12" s="12"/>
      <c r="E12" s="12"/>
      <c r="F12" s="12"/>
      <c r="G12" s="12"/>
      <c r="H12" s="12"/>
      <c r="I12" s="13"/>
      <c r="J12" s="13"/>
      <c r="K12" s="13"/>
      <c r="L12" s="14"/>
      <c r="M12" s="14"/>
      <c r="N12" s="14"/>
      <c r="O12" s="15"/>
      <c r="P12" s="15"/>
      <c r="Q12" s="16"/>
      <c r="R12" s="16"/>
      <c r="S12" s="16"/>
      <c r="T12" s="758">
        <f>P441/T10</f>
        <v>721.00998958333332</v>
      </c>
      <c r="W12" s="10"/>
      <c r="X12" s="10"/>
      <c r="AF12" s="10"/>
      <c r="AG12" s="10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</row>
    <row r="13" spans="1:250" ht="12.75">
      <c r="A13" s="17" t="s">
        <v>251</v>
      </c>
      <c r="B13" s="18"/>
      <c r="C13" s="2"/>
      <c r="D13" s="12"/>
      <c r="E13" s="12"/>
      <c r="F13" s="12"/>
      <c r="G13" s="12"/>
      <c r="H13" s="12"/>
      <c r="L13" s="14"/>
      <c r="M13" s="14"/>
      <c r="N13" s="14"/>
      <c r="O13" s="15"/>
      <c r="P13" s="15"/>
      <c r="Q13" s="16"/>
      <c r="R13" s="16"/>
      <c r="S13" s="14"/>
      <c r="T13" s="9"/>
      <c r="AF13" s="10"/>
      <c r="AG13" s="10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</row>
    <row r="14" spans="1:250">
      <c r="A14" s="10"/>
      <c r="B14" s="10"/>
      <c r="C14" s="19"/>
      <c r="D14" s="19" t="s">
        <v>15</v>
      </c>
      <c r="E14" s="19"/>
      <c r="F14" s="19"/>
      <c r="G14" s="19"/>
      <c r="H14" s="19"/>
      <c r="I14" s="20"/>
      <c r="J14" s="20"/>
      <c r="K14" s="20"/>
      <c r="L14" s="21"/>
      <c r="M14" s="22"/>
      <c r="N14" s="22"/>
      <c r="O14" s="6"/>
      <c r="P14" s="23" t="s">
        <v>16</v>
      </c>
      <c r="Q14" s="24"/>
      <c r="R14" s="24"/>
      <c r="S14" s="5"/>
      <c r="T14" s="9"/>
      <c r="AF14" s="10"/>
      <c r="AG14" s="10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</row>
    <row r="15" spans="1:250" ht="11.25" customHeight="1">
      <c r="A15" s="10"/>
      <c r="B15" s="10"/>
      <c r="C15" s="684" t="s">
        <v>308</v>
      </c>
      <c r="D15" s="685"/>
      <c r="E15" s="685"/>
      <c r="F15" s="685"/>
      <c r="G15" s="685"/>
      <c r="H15" s="25"/>
      <c r="I15" s="26"/>
      <c r="J15" s="26"/>
      <c r="K15" s="26"/>
      <c r="L15" s="27"/>
      <c r="M15" s="28"/>
      <c r="N15" s="29"/>
      <c r="O15" s="30"/>
      <c r="P15" s="31"/>
      <c r="Q15" s="32"/>
      <c r="R15" s="904"/>
      <c r="S15" s="28"/>
      <c r="T15" s="1164" t="s">
        <v>402</v>
      </c>
      <c r="U15" s="817" t="s">
        <v>403</v>
      </c>
      <c r="V15" s="818"/>
      <c r="W15" s="818"/>
      <c r="X15" s="818"/>
      <c r="Y15" s="818"/>
      <c r="Z15" s="819"/>
      <c r="AF15" s="10"/>
      <c r="AG15" s="10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</row>
    <row r="16" spans="1:250">
      <c r="A16" s="10"/>
      <c r="B16" s="10"/>
      <c r="C16" s="905" t="s">
        <v>6</v>
      </c>
      <c r="D16" s="36" t="s">
        <v>7</v>
      </c>
      <c r="E16" s="36" t="s">
        <v>8</v>
      </c>
      <c r="F16" s="36" t="s">
        <v>9</v>
      </c>
      <c r="G16" s="36" t="s">
        <v>10</v>
      </c>
      <c r="H16" s="36" t="s">
        <v>18</v>
      </c>
      <c r="I16" s="37"/>
      <c r="J16" s="37"/>
      <c r="K16" s="37"/>
      <c r="L16" s="34" t="s">
        <v>19</v>
      </c>
      <c r="M16" s="34" t="s">
        <v>20</v>
      </c>
      <c r="N16" s="38" t="s">
        <v>24</v>
      </c>
      <c r="O16" s="40" t="s">
        <v>21</v>
      </c>
      <c r="P16" s="40" t="s">
        <v>17</v>
      </c>
      <c r="Q16" s="34" t="s">
        <v>20</v>
      </c>
      <c r="R16" s="278" t="s">
        <v>24</v>
      </c>
      <c r="S16" s="33" t="s">
        <v>17</v>
      </c>
      <c r="T16" s="1165"/>
      <c r="U16" s="820" t="s">
        <v>399</v>
      </c>
      <c r="V16" s="820"/>
      <c r="W16" s="820"/>
      <c r="X16" s="820" t="s">
        <v>400</v>
      </c>
      <c r="Y16" s="820"/>
      <c r="Z16" s="820"/>
      <c r="AF16" s="10"/>
      <c r="AG16" s="10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</row>
    <row r="17" spans="1:256">
      <c r="A17" s="10"/>
      <c r="B17" s="10"/>
      <c r="C17" s="906">
        <f>C5</f>
        <v>111.36999999999999</v>
      </c>
      <c r="D17" s="907">
        <f>D5</f>
        <v>95.591999999999999</v>
      </c>
      <c r="E17" s="907">
        <f>E5</f>
        <v>75.809999999999988</v>
      </c>
      <c r="F17" s="907">
        <f>F5</f>
        <v>36.847999999999999</v>
      </c>
      <c r="G17" s="908">
        <f>G5</f>
        <v>95.591999999999999</v>
      </c>
      <c r="H17" s="36" t="s">
        <v>303</v>
      </c>
      <c r="I17" s="37"/>
      <c r="J17" s="37"/>
      <c r="K17" s="37"/>
      <c r="L17" s="34" t="s">
        <v>22</v>
      </c>
      <c r="M17" s="34" t="s">
        <v>23</v>
      </c>
      <c r="N17" s="34" t="s">
        <v>304</v>
      </c>
      <c r="O17" s="40" t="s">
        <v>5</v>
      </c>
      <c r="P17" s="40" t="s">
        <v>303</v>
      </c>
      <c r="Q17" s="34" t="s">
        <v>23</v>
      </c>
      <c r="R17" s="278" t="s">
        <v>22</v>
      </c>
      <c r="S17" s="33" t="s">
        <v>22</v>
      </c>
      <c r="T17" s="1165"/>
      <c r="U17" s="821"/>
      <c r="V17" s="821"/>
      <c r="W17" s="821"/>
      <c r="X17" s="821"/>
      <c r="Y17" s="821"/>
      <c r="Z17" s="821"/>
      <c r="AF17" s="10"/>
      <c r="AG17" s="10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</row>
    <row r="18" spans="1:256" ht="12.75" customHeight="1">
      <c r="A18" s="35" t="s">
        <v>25</v>
      </c>
      <c r="B18" s="35"/>
      <c r="C18" s="909" t="s">
        <v>307</v>
      </c>
      <c r="D18" s="257" t="s">
        <v>307</v>
      </c>
      <c r="E18" s="257" t="s">
        <v>307</v>
      </c>
      <c r="F18" s="257" t="s">
        <v>307</v>
      </c>
      <c r="G18" s="257" t="s">
        <v>307</v>
      </c>
      <c r="H18" s="257" t="s">
        <v>327</v>
      </c>
      <c r="I18" s="258"/>
      <c r="J18" s="258"/>
      <c r="K18" s="258"/>
      <c r="L18" s="42" t="s">
        <v>326</v>
      </c>
      <c r="M18" s="259" t="s">
        <v>326</v>
      </c>
      <c r="N18" s="42" t="s">
        <v>326</v>
      </c>
      <c r="O18" s="261" t="s">
        <v>26</v>
      </c>
      <c r="P18" s="41" t="s">
        <v>305</v>
      </c>
      <c r="Q18" s="259" t="s">
        <v>306</v>
      </c>
      <c r="R18" s="910" t="s">
        <v>306</v>
      </c>
      <c r="S18" s="263" t="s">
        <v>306</v>
      </c>
      <c r="T18" s="1166"/>
      <c r="U18" s="822" t="s">
        <v>404</v>
      </c>
      <c r="V18" s="822" t="s">
        <v>405</v>
      </c>
      <c r="W18" s="822" t="s">
        <v>406</v>
      </c>
      <c r="X18" s="822" t="s">
        <v>404</v>
      </c>
      <c r="Y18" s="822" t="s">
        <v>405</v>
      </c>
      <c r="Z18" s="822" t="s">
        <v>406</v>
      </c>
      <c r="AF18" s="10"/>
      <c r="AG18" s="10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</row>
    <row r="19" spans="1:256" ht="12" thickBot="1">
      <c r="A19" s="35"/>
      <c r="B19" s="35"/>
      <c r="C19" s="36"/>
      <c r="D19" s="36"/>
      <c r="E19" s="36"/>
      <c r="F19" s="36"/>
      <c r="G19" s="36"/>
      <c r="H19" s="36"/>
      <c r="I19" s="37"/>
      <c r="J19" s="37"/>
      <c r="K19" s="37"/>
      <c r="L19" s="34"/>
      <c r="M19" s="38"/>
      <c r="N19" s="34"/>
      <c r="O19" s="39"/>
      <c r="P19" s="40"/>
      <c r="Q19" s="38"/>
      <c r="R19" s="34"/>
      <c r="S19" s="34"/>
      <c r="T19" s="824"/>
      <c r="U19" s="825"/>
      <c r="V19" s="826"/>
      <c r="W19" s="827"/>
      <c r="X19" s="827"/>
      <c r="Y19" s="827"/>
      <c r="Z19" s="827"/>
      <c r="AC19" s="809" t="s">
        <v>394</v>
      </c>
      <c r="AD19" s="810"/>
      <c r="AE19" s="810"/>
      <c r="AF19" s="810"/>
      <c r="AG19" s="810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</row>
    <row r="20" spans="1:256" ht="12.75" thickTop="1" thickBot="1">
      <c r="A20" s="936" t="s">
        <v>163</v>
      </c>
      <c r="B20" s="937"/>
      <c r="C20" s="938"/>
      <c r="D20" s="938"/>
      <c r="E20" s="938"/>
      <c r="F20" s="938"/>
      <c r="G20" s="938"/>
      <c r="H20" s="938"/>
      <c r="I20" s="939"/>
      <c r="J20" s="939"/>
      <c r="K20" s="939"/>
      <c r="L20" s="940"/>
      <c r="M20" s="940"/>
      <c r="N20" s="941"/>
      <c r="O20" s="942"/>
      <c r="P20" s="943"/>
      <c r="Q20" s="944"/>
      <c r="R20" s="944"/>
      <c r="S20" s="945"/>
      <c r="T20" s="946"/>
      <c r="U20" s="947"/>
      <c r="V20" s="948"/>
      <c r="W20" s="949"/>
      <c r="X20" s="950"/>
      <c r="Y20" s="950"/>
      <c r="Z20" s="949"/>
      <c r="AC20" s="810"/>
      <c r="AD20" s="810"/>
      <c r="AE20" s="810"/>
      <c r="AF20" s="810"/>
      <c r="AG20" s="810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</row>
    <row r="21" spans="1:256" ht="46.5" thickTop="1" thickBot="1">
      <c r="A21" s="43" t="s">
        <v>27</v>
      </c>
      <c r="B21" s="44"/>
      <c r="C21" s="45">
        <v>0</v>
      </c>
      <c r="D21" s="45">
        <v>5</v>
      </c>
      <c r="E21" s="45">
        <v>10</v>
      </c>
      <c r="F21" s="45">
        <v>0</v>
      </c>
      <c r="G21" s="45">
        <v>0</v>
      </c>
      <c r="H21" s="45">
        <f>SUM(C21:G21)</f>
        <v>15</v>
      </c>
      <c r="I21" s="46">
        <f>D21*$O21</f>
        <v>251.66666666666669</v>
      </c>
      <c r="J21" s="46">
        <f>E21*$O21</f>
        <v>503.33333333333337</v>
      </c>
      <c r="K21" s="46">
        <f>F21*$O21</f>
        <v>0</v>
      </c>
      <c r="L21" s="47">
        <f>((C21*$C$5)+(D21*$D$5)+(E21*$E$5)+(F21*$F$5)+(G21*$G$5))</f>
        <v>1236.06</v>
      </c>
      <c r="M21" s="47">
        <v>0</v>
      </c>
      <c r="N21" s="48">
        <v>0</v>
      </c>
      <c r="O21" s="49">
        <f>V10</f>
        <v>50.333333333333336</v>
      </c>
      <c r="P21" s="50">
        <f>(C21+D21+E21+F21+G21)*O21</f>
        <v>755</v>
      </c>
      <c r="Q21" s="51">
        <f>M21*O21</f>
        <v>0</v>
      </c>
      <c r="R21" s="51">
        <f>N21*O21</f>
        <v>0</v>
      </c>
      <c r="S21" s="52">
        <f>(L21+M21+N21)*O21</f>
        <v>62215.02</v>
      </c>
      <c r="T21" s="925" t="s">
        <v>407</v>
      </c>
      <c r="U21" s="923" t="str">
        <f>IF($T21="RP",O21,"")</f>
        <v/>
      </c>
      <c r="V21" s="848" t="str">
        <f>IF($T21="RP",P21,"")</f>
        <v/>
      </c>
      <c r="W21" s="829" t="str">
        <f>IF($T21="RP",SUM(Q21:R21),"")</f>
        <v/>
      </c>
      <c r="X21" s="848">
        <f>IF($T21="RK",O21,"")</f>
        <v>50.333333333333336</v>
      </c>
      <c r="Y21" s="848">
        <f>IF($T21="RK",P21,"")</f>
        <v>755</v>
      </c>
      <c r="Z21" s="829">
        <f>IF($T21="Rk",SUM(Q21:R21),"")</f>
        <v>0</v>
      </c>
      <c r="AC21" s="811"/>
      <c r="AD21" s="811" t="s">
        <v>395</v>
      </c>
      <c r="AE21" s="811" t="s">
        <v>396</v>
      </c>
      <c r="AF21" s="811" t="s">
        <v>397</v>
      </c>
      <c r="AG21" s="811" t="s">
        <v>398</v>
      </c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</row>
    <row r="22" spans="1:256" s="73" customFormat="1" ht="12.75" thickTop="1" thickBot="1">
      <c r="A22" s="53" t="s">
        <v>29</v>
      </c>
      <c r="B22" s="54"/>
      <c r="C22" s="55">
        <f>C21</f>
        <v>0</v>
      </c>
      <c r="D22" s="55">
        <f>D21</f>
        <v>5</v>
      </c>
      <c r="E22" s="55">
        <f>E21</f>
        <v>10</v>
      </c>
      <c r="F22" s="55">
        <f>F21</f>
        <v>0</v>
      </c>
      <c r="G22" s="55">
        <v>0</v>
      </c>
      <c r="H22" s="55">
        <f>H21</f>
        <v>15</v>
      </c>
      <c r="I22" s="56"/>
      <c r="J22" s="56"/>
      <c r="K22" s="56"/>
      <c r="L22" s="57">
        <f>L21</f>
        <v>1236.06</v>
      </c>
      <c r="M22" s="57">
        <f>(M21)</f>
        <v>0</v>
      </c>
      <c r="N22" s="58">
        <f>N21</f>
        <v>0</v>
      </c>
      <c r="O22" s="59"/>
      <c r="P22" s="60">
        <f>P21</f>
        <v>755</v>
      </c>
      <c r="Q22" s="61">
        <f>Q21</f>
        <v>0</v>
      </c>
      <c r="R22" s="61">
        <f>R21</f>
        <v>0</v>
      </c>
      <c r="S22" s="62">
        <f>S21</f>
        <v>62215.02</v>
      </c>
      <c r="T22" s="924"/>
      <c r="U22" s="850" t="str">
        <f t="shared" ref="U22:Z22" si="3">U21</f>
        <v/>
      </c>
      <c r="V22" s="849" t="str">
        <f t="shared" si="3"/>
        <v/>
      </c>
      <c r="W22" s="62" t="str">
        <f t="shared" si="3"/>
        <v/>
      </c>
      <c r="X22" s="849">
        <f t="shared" si="3"/>
        <v>50.333333333333336</v>
      </c>
      <c r="Y22" s="849">
        <f t="shared" si="3"/>
        <v>755</v>
      </c>
      <c r="Z22" s="62">
        <f t="shared" si="3"/>
        <v>0</v>
      </c>
      <c r="AA22" s="1"/>
      <c r="AB22" s="1"/>
      <c r="AC22" s="812" t="s">
        <v>431</v>
      </c>
      <c r="AD22" s="814">
        <f>AE22/AH22</f>
        <v>66.176391423778185</v>
      </c>
      <c r="AE22" s="1158">
        <f>V441</f>
        <v>95722.826666666675</v>
      </c>
      <c r="AF22" s="815">
        <f>AG22/AH22</f>
        <v>2781.9129380749591</v>
      </c>
      <c r="AG22" s="815">
        <f>W441</f>
        <v>4023981.4266666672</v>
      </c>
      <c r="AH22" s="855">
        <f>U441</f>
        <v>1446.48</v>
      </c>
      <c r="IQ22" s="86"/>
      <c r="IR22" s="86"/>
      <c r="IS22" s="86"/>
      <c r="IT22" s="86"/>
      <c r="IU22" s="86"/>
      <c r="IV22" s="86"/>
    </row>
    <row r="23" spans="1:256" s="73" customFormat="1" ht="12.75" thickTop="1" thickBot="1">
      <c r="A23" s="64"/>
      <c r="B23" s="65"/>
      <c r="C23" s="66"/>
      <c r="D23" s="66"/>
      <c r="E23" s="66"/>
      <c r="F23" s="66"/>
      <c r="G23" s="66"/>
      <c r="H23" s="66"/>
      <c r="I23" s="67"/>
      <c r="J23" s="67"/>
      <c r="K23" s="67"/>
      <c r="L23" s="68"/>
      <c r="M23" s="68"/>
      <c r="N23" s="69"/>
      <c r="O23" s="70"/>
      <c r="P23" s="70"/>
      <c r="Q23" s="71"/>
      <c r="R23" s="71"/>
      <c r="S23" s="72"/>
      <c r="T23" s="924"/>
      <c r="U23" s="850"/>
      <c r="V23" s="850"/>
      <c r="W23" s="72"/>
      <c r="X23" s="850"/>
      <c r="Y23" s="850"/>
      <c r="Z23" s="72"/>
      <c r="AA23" s="1"/>
      <c r="AB23" s="1"/>
      <c r="AC23" s="812" t="s">
        <v>432</v>
      </c>
      <c r="AD23" s="814">
        <f>AE23/AH23</f>
        <v>34.423755733787829</v>
      </c>
      <c r="AE23" s="1158">
        <f>Y441</f>
        <v>42711.09133333333</v>
      </c>
      <c r="AF23" s="815">
        <f>AG23/AH23</f>
        <v>20.770241741921659</v>
      </c>
      <c r="AG23" s="815">
        <f>Z441</f>
        <v>25770.566666666669</v>
      </c>
      <c r="AH23" s="855">
        <f>X441</f>
        <v>1240.7446666666665</v>
      </c>
      <c r="IQ23" s="86"/>
      <c r="IR23" s="86"/>
      <c r="IS23" s="86"/>
      <c r="IT23" s="86"/>
      <c r="IU23" s="86"/>
      <c r="IV23" s="86"/>
    </row>
    <row r="24" spans="1:256" s="73" customFormat="1" ht="12.75" thickTop="1" thickBot="1">
      <c r="A24" s="74" t="s">
        <v>285</v>
      </c>
      <c r="B24" s="65"/>
      <c r="C24" s="75">
        <f t="shared" ref="C24:H24" si="4">C22</f>
        <v>0</v>
      </c>
      <c r="D24" s="75">
        <f t="shared" si="4"/>
        <v>5</v>
      </c>
      <c r="E24" s="75">
        <f t="shared" si="4"/>
        <v>10</v>
      </c>
      <c r="F24" s="75">
        <f t="shared" si="4"/>
        <v>0</v>
      </c>
      <c r="G24" s="75">
        <f t="shared" si="4"/>
        <v>0</v>
      </c>
      <c r="H24" s="75">
        <f t="shared" si="4"/>
        <v>15</v>
      </c>
      <c r="I24" s="76"/>
      <c r="J24" s="76"/>
      <c r="K24" s="76"/>
      <c r="L24" s="77">
        <f>L22</f>
        <v>1236.06</v>
      </c>
      <c r="M24" s="77">
        <f>M22</f>
        <v>0</v>
      </c>
      <c r="N24" s="69">
        <f>N22</f>
        <v>0</v>
      </c>
      <c r="O24" s="70"/>
      <c r="P24" s="78">
        <f>P22</f>
        <v>755</v>
      </c>
      <c r="Q24" s="79">
        <f>Q22</f>
        <v>0</v>
      </c>
      <c r="R24" s="79">
        <f>R22</f>
        <v>0</v>
      </c>
      <c r="S24" s="68">
        <f>S22</f>
        <v>62215.02</v>
      </c>
      <c r="T24" s="824"/>
      <c r="U24" s="850" t="str">
        <f t="shared" ref="U24:Z24" si="5">U22</f>
        <v/>
      </c>
      <c r="V24" s="850" t="str">
        <f t="shared" si="5"/>
        <v/>
      </c>
      <c r="W24" s="72" t="str">
        <f t="shared" si="5"/>
        <v/>
      </c>
      <c r="X24" s="850">
        <f t="shared" si="5"/>
        <v>50.333333333333336</v>
      </c>
      <c r="Y24" s="850">
        <f t="shared" si="5"/>
        <v>755</v>
      </c>
      <c r="Z24" s="72">
        <f t="shared" si="5"/>
        <v>0</v>
      </c>
      <c r="AA24" s="1"/>
      <c r="AB24" s="1"/>
      <c r="AC24" s="812" t="s">
        <v>401</v>
      </c>
      <c r="AD24" s="813"/>
      <c r="AE24" s="1158"/>
      <c r="AF24" s="815"/>
      <c r="AG24" s="815"/>
      <c r="IQ24" s="86"/>
      <c r="IR24" s="86"/>
      <c r="IS24" s="86"/>
      <c r="IT24" s="86"/>
      <c r="IU24" s="86"/>
      <c r="IV24" s="86"/>
    </row>
    <row r="25" spans="1:256" s="73" customFormat="1" ht="12" thickTop="1">
      <c r="A25" s="35"/>
      <c r="B25" s="35"/>
      <c r="C25" s="80"/>
      <c r="D25" s="80"/>
      <c r="E25" s="80"/>
      <c r="F25" s="80"/>
      <c r="G25" s="80"/>
      <c r="H25" s="80"/>
      <c r="I25" s="81"/>
      <c r="J25" s="81"/>
      <c r="K25" s="81"/>
      <c r="L25" s="82"/>
      <c r="M25" s="82"/>
      <c r="N25" s="82"/>
      <c r="O25" s="83"/>
      <c r="P25" s="83"/>
      <c r="Q25" s="84"/>
      <c r="R25" s="84"/>
      <c r="S25" s="82"/>
      <c r="T25" s="85"/>
      <c r="U25" s="784"/>
      <c r="V25" s="784"/>
      <c r="W25" s="86"/>
      <c r="X25" s="784"/>
      <c r="Y25" s="784"/>
      <c r="Z25" s="86"/>
      <c r="AA25" s="86"/>
      <c r="AB25" s="86"/>
      <c r="AC25" s="812" t="s">
        <v>433</v>
      </c>
      <c r="AD25" s="814">
        <f>AE25/AH25</f>
        <v>51.515572820235604</v>
      </c>
      <c r="AE25" s="1159">
        <f>SUM(AE22:AE24)</f>
        <v>138433.91800000001</v>
      </c>
      <c r="AF25" s="815">
        <f>AG25/AH25</f>
        <v>1507.0388581825564</v>
      </c>
      <c r="AG25" s="816">
        <f>SUM(AG22:AG24)</f>
        <v>4049751.9933333341</v>
      </c>
      <c r="AH25" s="855">
        <f>SUM(AH23,AH22)</f>
        <v>2687.2246666666665</v>
      </c>
      <c r="IQ25" s="86"/>
      <c r="IR25" s="86"/>
      <c r="IS25" s="86"/>
      <c r="IT25" s="86"/>
      <c r="IU25" s="86"/>
      <c r="IV25" s="86"/>
    </row>
    <row r="26" spans="1:256" s="73" customFormat="1" ht="12" thickBot="1">
      <c r="A26" s="35"/>
      <c r="B26" s="35"/>
      <c r="C26" s="80"/>
      <c r="D26" s="80"/>
      <c r="E26" s="80"/>
      <c r="F26" s="80"/>
      <c r="G26" s="80"/>
      <c r="H26" s="80"/>
      <c r="I26" s="81"/>
      <c r="J26" s="81"/>
      <c r="K26" s="81"/>
      <c r="L26" s="82"/>
      <c r="M26" s="82"/>
      <c r="N26" s="82"/>
      <c r="O26" s="83"/>
      <c r="P26" s="83"/>
      <c r="Q26" s="84"/>
      <c r="R26" s="84"/>
      <c r="S26" s="82"/>
      <c r="T26" s="85"/>
      <c r="U26" s="784"/>
      <c r="V26" s="784"/>
      <c r="W26" s="86"/>
      <c r="X26" s="784"/>
      <c r="Y26" s="784"/>
      <c r="Z26" s="86"/>
      <c r="AA26" s="86"/>
      <c r="AB26" s="86"/>
      <c r="AC26" s="86"/>
      <c r="AD26" s="86"/>
      <c r="AE26" s="86"/>
      <c r="IQ26" s="86"/>
      <c r="IR26" s="86"/>
      <c r="IS26" s="86"/>
      <c r="IT26" s="86"/>
      <c r="IU26" s="86"/>
      <c r="IV26" s="86"/>
    </row>
    <row r="27" spans="1:256" s="73" customFormat="1" ht="12" thickBot="1">
      <c r="A27" s="959" t="s">
        <v>276</v>
      </c>
      <c r="B27" s="960"/>
      <c r="C27" s="961"/>
      <c r="D27" s="961"/>
      <c r="E27" s="961"/>
      <c r="F27" s="961"/>
      <c r="G27" s="961"/>
      <c r="H27" s="961"/>
      <c r="I27" s="962"/>
      <c r="J27" s="962"/>
      <c r="K27" s="962"/>
      <c r="L27" s="963"/>
      <c r="M27" s="963"/>
      <c r="N27" s="964"/>
      <c r="O27" s="965"/>
      <c r="P27" s="965"/>
      <c r="Q27" s="966"/>
      <c r="R27" s="966"/>
      <c r="S27" s="963"/>
      <c r="T27" s="946"/>
      <c r="U27" s="967"/>
      <c r="V27" s="967"/>
      <c r="W27" s="968"/>
      <c r="X27" s="967"/>
      <c r="Y27" s="967"/>
      <c r="Z27" s="969"/>
      <c r="AA27" s="1"/>
      <c r="AB27" s="1"/>
      <c r="AC27" s="1"/>
      <c r="AD27" s="1"/>
      <c r="AE27" s="758"/>
      <c r="IQ27" s="86"/>
      <c r="IR27" s="86"/>
      <c r="IS27" s="86"/>
      <c r="IT27" s="86"/>
      <c r="IU27" s="86"/>
      <c r="IV27" s="86"/>
    </row>
    <row r="28" spans="1:256" s="73" customFormat="1">
      <c r="A28" s="1025" t="s">
        <v>391</v>
      </c>
      <c r="B28" s="951"/>
      <c r="C28" s="952"/>
      <c r="D28" s="952"/>
      <c r="E28" s="952"/>
      <c r="F28" s="952"/>
      <c r="G28" s="952"/>
      <c r="H28" s="952"/>
      <c r="I28" s="953"/>
      <c r="J28" s="953"/>
      <c r="K28" s="953"/>
      <c r="L28" s="954"/>
      <c r="M28" s="954"/>
      <c r="N28" s="955"/>
      <c r="O28" s="956"/>
      <c r="P28" s="957"/>
      <c r="Q28" s="958"/>
      <c r="R28" s="958"/>
      <c r="S28" s="954"/>
      <c r="T28" s="926"/>
      <c r="U28" s="784"/>
      <c r="V28" s="784"/>
      <c r="W28" s="86"/>
      <c r="X28" s="784"/>
      <c r="Y28" s="784"/>
      <c r="Z28" s="973"/>
      <c r="AA28" s="1"/>
      <c r="AB28" s="1"/>
      <c r="AC28" s="1"/>
      <c r="AD28" s="1"/>
      <c r="AE28" s="758"/>
      <c r="IQ28" s="86"/>
      <c r="IR28" s="86"/>
      <c r="IS28" s="86"/>
      <c r="IT28" s="86"/>
      <c r="IU28" s="86"/>
      <c r="IV28" s="86"/>
    </row>
    <row r="29" spans="1:256" s="73" customFormat="1">
      <c r="A29" s="1026"/>
      <c r="B29" s="712" t="s">
        <v>313</v>
      </c>
      <c r="C29" s="713"/>
      <c r="D29" s="713"/>
      <c r="E29" s="713"/>
      <c r="F29" s="713"/>
      <c r="G29" s="713"/>
      <c r="H29" s="713"/>
      <c r="I29" s="714"/>
      <c r="J29" s="714"/>
      <c r="K29" s="714"/>
      <c r="L29" s="715"/>
      <c r="M29" s="716"/>
      <c r="N29" s="717"/>
      <c r="O29" s="728"/>
      <c r="P29" s="729"/>
      <c r="Q29" s="730"/>
      <c r="R29" s="730"/>
      <c r="S29" s="834"/>
      <c r="T29" s="927"/>
      <c r="U29" s="835"/>
      <c r="V29" s="835"/>
      <c r="W29" s="256"/>
      <c r="X29" s="835"/>
      <c r="Y29" s="835"/>
      <c r="Z29" s="982"/>
      <c r="AA29" s="1"/>
      <c r="AB29" s="1"/>
      <c r="AC29" s="1"/>
      <c r="AD29" s="1"/>
      <c r="AE29" s="758"/>
      <c r="IQ29" s="86"/>
      <c r="IR29" s="86"/>
      <c r="IS29" s="86"/>
      <c r="IT29" s="86"/>
      <c r="IU29" s="86"/>
      <c r="IV29" s="86"/>
    </row>
    <row r="30" spans="1:256" s="73" customFormat="1">
      <c r="A30" s="1027"/>
      <c r="B30" s="718" t="s">
        <v>314</v>
      </c>
      <c r="C30" s="719">
        <v>0</v>
      </c>
      <c r="D30" s="719">
        <v>3</v>
      </c>
      <c r="E30" s="719">
        <v>30</v>
      </c>
      <c r="F30" s="719">
        <v>10</v>
      </c>
      <c r="G30" s="719">
        <v>40</v>
      </c>
      <c r="H30" s="719">
        <f>SUM(C30:G30)</f>
        <v>83</v>
      </c>
      <c r="I30" s="720">
        <f>D30*$O30</f>
        <v>3</v>
      </c>
      <c r="J30" s="720">
        <f>E30*$O30</f>
        <v>30</v>
      </c>
      <c r="K30" s="720">
        <f>F30*$O30</f>
        <v>10</v>
      </c>
      <c r="L30" s="721">
        <f>((C30*C5)+(D30*D5)+(E30*E5)+(F30*F5)+(G30*G5))</f>
        <v>6753.235999999999</v>
      </c>
      <c r="M30" s="721">
        <v>0</v>
      </c>
      <c r="N30" s="722">
        <v>5000</v>
      </c>
      <c r="O30" s="731">
        <v>1</v>
      </c>
      <c r="P30" s="732">
        <f>(C30+D30+E30+F30+G30)*O30</f>
        <v>83</v>
      </c>
      <c r="Q30" s="733">
        <f>M30*O30</f>
        <v>0</v>
      </c>
      <c r="R30" s="734">
        <f>N30*O30</f>
        <v>5000</v>
      </c>
      <c r="S30" s="831">
        <f>(L30+M30+N30)*O30</f>
        <v>11753.235999999999</v>
      </c>
      <c r="T30" s="928" t="s">
        <v>407</v>
      </c>
      <c r="U30" s="851" t="str">
        <f>IF($T30="RP",O30,"")</f>
        <v/>
      </c>
      <c r="V30" s="851" t="str">
        <f>IF($T30="RP",P30,"")</f>
        <v/>
      </c>
      <c r="W30" s="836" t="str">
        <f>IF($T30="RP",SUM(Q30:R30),"")</f>
        <v/>
      </c>
      <c r="X30" s="851">
        <f>IF($T30="RK",O30,"")</f>
        <v>1</v>
      </c>
      <c r="Y30" s="851">
        <f>IF($T30="RK",P30,"")</f>
        <v>83</v>
      </c>
      <c r="Z30" s="1028">
        <f>IF($T30="Rk",SUM(Q30:R30),"")</f>
        <v>5000</v>
      </c>
      <c r="AA30" s="1"/>
      <c r="AB30" s="1"/>
      <c r="AC30" s="1"/>
      <c r="AD30" s="1"/>
      <c r="AE30" s="1"/>
      <c r="IQ30" s="86"/>
      <c r="IR30" s="86"/>
      <c r="IS30" s="86"/>
      <c r="IT30" s="86"/>
      <c r="IU30" s="86"/>
      <c r="IV30" s="86"/>
    </row>
    <row r="31" spans="1:256" s="73" customFormat="1">
      <c r="A31" s="1029"/>
      <c r="B31" s="712" t="s">
        <v>315</v>
      </c>
      <c r="C31" s="723"/>
      <c r="D31" s="723"/>
      <c r="E31" s="723"/>
      <c r="F31" s="723"/>
      <c r="G31" s="723"/>
      <c r="H31" s="723"/>
      <c r="I31" s="724"/>
      <c r="J31" s="724"/>
      <c r="K31" s="724"/>
      <c r="L31" s="716"/>
      <c r="M31" s="716"/>
      <c r="N31" s="725"/>
      <c r="O31" s="735"/>
      <c r="P31" s="736"/>
      <c r="Q31" s="737"/>
      <c r="R31" s="737"/>
      <c r="S31" s="830"/>
      <c r="T31" s="927"/>
      <c r="U31" s="835"/>
      <c r="V31" s="835"/>
      <c r="W31" s="256"/>
      <c r="X31" s="835"/>
      <c r="Y31" s="835"/>
      <c r="Z31" s="982"/>
      <c r="AA31" s="1"/>
      <c r="AB31" s="1"/>
      <c r="AC31" s="1"/>
      <c r="AD31" s="1"/>
      <c r="AE31" s="1"/>
      <c r="IQ31" s="86"/>
      <c r="IR31" s="86"/>
      <c r="IS31" s="86"/>
      <c r="IT31" s="86"/>
      <c r="IU31" s="86"/>
      <c r="IV31" s="86"/>
    </row>
    <row r="32" spans="1:256" s="73" customFormat="1">
      <c r="A32" s="1029"/>
      <c r="B32" s="712" t="s">
        <v>316</v>
      </c>
      <c r="C32" s="723"/>
      <c r="D32" s="723"/>
      <c r="E32" s="723"/>
      <c r="F32" s="723"/>
      <c r="G32" s="723"/>
      <c r="H32" s="723"/>
      <c r="I32" s="724"/>
      <c r="J32" s="724"/>
      <c r="K32" s="724"/>
      <c r="L32" s="716"/>
      <c r="M32" s="716"/>
      <c r="N32" s="725"/>
      <c r="O32" s="735"/>
      <c r="P32" s="736"/>
      <c r="Q32" s="737"/>
      <c r="R32" s="737"/>
      <c r="S32" s="830"/>
      <c r="T32" s="926"/>
      <c r="U32" s="784"/>
      <c r="V32" s="784"/>
      <c r="W32" s="86"/>
      <c r="X32" s="784"/>
      <c r="Y32" s="784"/>
      <c r="Z32" s="973"/>
      <c r="AA32" s="1"/>
      <c r="AB32" s="1"/>
      <c r="AC32" s="1"/>
      <c r="AD32" s="1"/>
      <c r="AE32" s="1"/>
      <c r="IQ32" s="86"/>
      <c r="IR32" s="86"/>
      <c r="IS32" s="86"/>
      <c r="IT32" s="86"/>
      <c r="IU32" s="86"/>
      <c r="IV32" s="86"/>
    </row>
    <row r="33" spans="1:256" s="73" customFormat="1">
      <c r="A33" s="1029"/>
      <c r="B33" s="726" t="s">
        <v>317</v>
      </c>
      <c r="C33" s="719">
        <v>0</v>
      </c>
      <c r="D33" s="719">
        <v>1</v>
      </c>
      <c r="E33" s="719">
        <v>3</v>
      </c>
      <c r="F33" s="719">
        <v>1</v>
      </c>
      <c r="G33" s="719">
        <v>0</v>
      </c>
      <c r="H33" s="719">
        <f>SUM(C33:G33)</f>
        <v>5</v>
      </c>
      <c r="I33" s="720">
        <f>D33*$O33</f>
        <v>1</v>
      </c>
      <c r="J33" s="720">
        <f>E33*$O33</f>
        <v>3</v>
      </c>
      <c r="K33" s="720">
        <f>F33*$O33</f>
        <v>1</v>
      </c>
      <c r="L33" s="47">
        <f>((C33*$C$5)+(D33*$D$5)+(E33*$E$5)+(F33*$F$5)+(G33*$G$5))</f>
        <v>359.86999999999995</v>
      </c>
      <c r="M33" s="721">
        <v>0</v>
      </c>
      <c r="N33" s="722">
        <v>8</v>
      </c>
      <c r="O33" s="731">
        <v>1</v>
      </c>
      <c r="P33" s="732">
        <f>(C33+D33+E33+F33+G33)*O33</f>
        <v>5</v>
      </c>
      <c r="Q33" s="734">
        <f>M33*O33</f>
        <v>0</v>
      </c>
      <c r="R33" s="734">
        <f>N33*O33</f>
        <v>8</v>
      </c>
      <c r="S33" s="831">
        <f>(L33+M33+N33)*O33</f>
        <v>367.86999999999995</v>
      </c>
      <c r="T33" s="928" t="s">
        <v>408</v>
      </c>
      <c r="U33" s="851">
        <f>IF($T33="RP",O33,"")</f>
        <v>1</v>
      </c>
      <c r="V33" s="851">
        <f>IF($T33="RP",P33,"")</f>
        <v>5</v>
      </c>
      <c r="W33" s="836">
        <f>IF($T33="RP",SUM(Q33:R33),"")</f>
        <v>8</v>
      </c>
      <c r="X33" s="851" t="str">
        <f>IF($T33="RK",O33,"")</f>
        <v/>
      </c>
      <c r="Y33" s="851" t="str">
        <f>IF($T33="RK",P33,"")</f>
        <v/>
      </c>
      <c r="Z33" s="1028" t="str">
        <f>IF($T33="Rk",SUM(Q33:R33),"")</f>
        <v/>
      </c>
      <c r="AA33" s="1"/>
      <c r="AB33" s="1"/>
      <c r="AC33" s="1"/>
      <c r="AD33" s="1"/>
      <c r="AE33" s="1"/>
      <c r="IQ33" s="86"/>
      <c r="IR33" s="86"/>
      <c r="IS33" s="86"/>
      <c r="IT33" s="86"/>
      <c r="IU33" s="86"/>
      <c r="IV33" s="86"/>
    </row>
    <row r="34" spans="1:256">
      <c r="A34" s="1026"/>
      <c r="B34" s="727" t="s">
        <v>318</v>
      </c>
      <c r="C34" s="723"/>
      <c r="D34" s="723"/>
      <c r="E34" s="723"/>
      <c r="F34" s="723"/>
      <c r="G34" s="723"/>
      <c r="H34" s="723"/>
      <c r="I34" s="724"/>
      <c r="J34" s="724"/>
      <c r="K34" s="724"/>
      <c r="L34" s="716"/>
      <c r="M34" s="716"/>
      <c r="N34" s="725"/>
      <c r="O34" s="738"/>
      <c r="P34" s="736"/>
      <c r="Q34" s="739"/>
      <c r="R34" s="739"/>
      <c r="S34" s="830"/>
      <c r="T34" s="927"/>
      <c r="U34" s="835"/>
      <c r="V34" s="835"/>
      <c r="W34" s="256"/>
      <c r="X34" s="835"/>
      <c r="Y34" s="835"/>
      <c r="Z34" s="982"/>
      <c r="AF34" s="10"/>
      <c r="AG34" s="10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</row>
    <row r="35" spans="1:256">
      <c r="A35" s="1029"/>
      <c r="B35" s="726" t="s">
        <v>316</v>
      </c>
      <c r="C35" s="723"/>
      <c r="D35" s="723"/>
      <c r="E35" s="723"/>
      <c r="F35" s="723"/>
      <c r="G35" s="723"/>
      <c r="H35" s="723"/>
      <c r="I35" s="724"/>
      <c r="J35" s="724"/>
      <c r="K35" s="724"/>
      <c r="L35" s="716"/>
      <c r="M35" s="716"/>
      <c r="N35" s="725"/>
      <c r="O35" s="735"/>
      <c r="P35" s="736"/>
      <c r="Q35" s="739"/>
      <c r="R35" s="739"/>
      <c r="S35" s="830"/>
      <c r="T35" s="926"/>
      <c r="U35" s="784"/>
      <c r="V35" s="784"/>
      <c r="W35" s="86"/>
      <c r="X35" s="784"/>
      <c r="Y35" s="784"/>
      <c r="Z35" s="973"/>
      <c r="AA35" s="86"/>
      <c r="AB35" s="86"/>
      <c r="AC35" s="86"/>
      <c r="AD35" s="86"/>
      <c r="AE35" s="86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</row>
    <row r="36" spans="1:256" ht="12" thickBot="1">
      <c r="A36" s="1029"/>
      <c r="B36" s="726" t="s">
        <v>317</v>
      </c>
      <c r="C36" s="723">
        <v>0</v>
      </c>
      <c r="D36" s="723">
        <v>0</v>
      </c>
      <c r="E36" s="723">
        <v>0.5</v>
      </c>
      <c r="F36" s="723">
        <v>0.5</v>
      </c>
      <c r="G36" s="723">
        <v>0</v>
      </c>
      <c r="H36" s="719">
        <f>SUM(C36:G36)</f>
        <v>1</v>
      </c>
      <c r="I36" s="720">
        <f>D36*$O36</f>
        <v>0</v>
      </c>
      <c r="J36" s="720">
        <f>E36*$O36</f>
        <v>0.5</v>
      </c>
      <c r="K36" s="720">
        <f>F36*$O36</f>
        <v>0.5</v>
      </c>
      <c r="L36" s="47">
        <f>((C36*$C$5)+(D36*$D$5)+(E36*$E$5)+(F36*$F$5)+(G36*$G$5))</f>
        <v>56.328999999999994</v>
      </c>
      <c r="M36" s="716">
        <v>0</v>
      </c>
      <c r="N36" s="725">
        <v>0</v>
      </c>
      <c r="O36" s="740">
        <v>1</v>
      </c>
      <c r="P36" s="732">
        <f>(C36+D36+E36+F36+G36)*O36</f>
        <v>1</v>
      </c>
      <c r="Q36" s="737">
        <f>M36*O36</f>
        <v>0</v>
      </c>
      <c r="R36" s="737">
        <f>N36*O36</f>
        <v>0</v>
      </c>
      <c r="S36" s="831">
        <f>(L36+M36+N36)*O36</f>
        <v>56.328999999999994</v>
      </c>
      <c r="T36" s="929" t="s">
        <v>407</v>
      </c>
      <c r="U36" s="852" t="str">
        <f>IF($T36="RP",O36,"")</f>
        <v/>
      </c>
      <c r="V36" s="852" t="str">
        <f>IF($T36="RP",P36,"")</f>
        <v/>
      </c>
      <c r="W36" s="837" t="str">
        <f>IF($T36="RP",SUM(Q36:R36),"")</f>
        <v/>
      </c>
      <c r="X36" s="852">
        <f>IF($T36="RK",O36,"")</f>
        <v>1</v>
      </c>
      <c r="Y36" s="852">
        <f>IF($T36="RK",P36,"")</f>
        <v>1</v>
      </c>
      <c r="Z36" s="1030">
        <f>IF($T36="Rk",SUM(Q36:R36),"")</f>
        <v>0</v>
      </c>
      <c r="AA36" s="86"/>
      <c r="AB36" s="86"/>
      <c r="AC36" s="86"/>
      <c r="AD36" s="86"/>
      <c r="AE36" s="86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</row>
    <row r="37" spans="1:256" s="73" customFormat="1" ht="12.75" thickTop="1" thickBot="1">
      <c r="A37" s="1031" t="s">
        <v>286</v>
      </c>
      <c r="B37" s="1032"/>
      <c r="C37" s="1033">
        <f t="shared" ref="C37:H37" si="6">C35</f>
        <v>0</v>
      </c>
      <c r="D37" s="1033">
        <f t="shared" si="6"/>
        <v>0</v>
      </c>
      <c r="E37" s="1033">
        <f t="shared" si="6"/>
        <v>0</v>
      </c>
      <c r="F37" s="1033">
        <f t="shared" si="6"/>
        <v>0</v>
      </c>
      <c r="G37" s="1033">
        <f t="shared" si="6"/>
        <v>0</v>
      </c>
      <c r="H37" s="1033">
        <f t="shared" si="6"/>
        <v>0</v>
      </c>
      <c r="I37" s="1034"/>
      <c r="J37" s="1034"/>
      <c r="K37" s="1034"/>
      <c r="L37" s="1035">
        <f>L35</f>
        <v>0</v>
      </c>
      <c r="M37" s="1035">
        <f>M35</f>
        <v>0</v>
      </c>
      <c r="N37" s="1036">
        <f>N35</f>
        <v>0</v>
      </c>
      <c r="O37" s="1037"/>
      <c r="P37" s="1038">
        <f>SUM(P29:P36)</f>
        <v>89</v>
      </c>
      <c r="Q37" s="1038">
        <f>SUM(Q29:Q36)</f>
        <v>0</v>
      </c>
      <c r="R37" s="1038">
        <f>SUM(R29:R36)</f>
        <v>5008</v>
      </c>
      <c r="S37" s="1039">
        <f>SUM(S29:S36)</f>
        <v>12177.434999999999</v>
      </c>
      <c r="T37" s="1040"/>
      <c r="U37" s="1041">
        <f t="shared" ref="U37:Z37" si="7">SUM(U29:U36)</f>
        <v>1</v>
      </c>
      <c r="V37" s="1042">
        <f t="shared" si="7"/>
        <v>5</v>
      </c>
      <c r="W37" s="1043">
        <f t="shared" si="7"/>
        <v>8</v>
      </c>
      <c r="X37" s="1042">
        <f t="shared" si="7"/>
        <v>2</v>
      </c>
      <c r="Y37" s="1042">
        <f t="shared" si="7"/>
        <v>84</v>
      </c>
      <c r="Z37" s="1044">
        <f t="shared" si="7"/>
        <v>5000</v>
      </c>
      <c r="AA37" s="86"/>
      <c r="AB37" s="86"/>
      <c r="AC37" s="86"/>
      <c r="AD37" s="86"/>
      <c r="AE37" s="86"/>
      <c r="IQ37" s="86"/>
      <c r="IR37" s="86"/>
      <c r="IS37" s="86"/>
      <c r="IT37" s="86"/>
      <c r="IU37" s="86"/>
      <c r="IV37" s="86"/>
    </row>
    <row r="38" spans="1:256" s="73" customFormat="1">
      <c r="A38" s="35"/>
      <c r="B38" s="35"/>
      <c r="C38" s="80"/>
      <c r="D38" s="80"/>
      <c r="E38" s="80"/>
      <c r="F38" s="80"/>
      <c r="G38" s="80"/>
      <c r="H38" s="80"/>
      <c r="I38" s="81"/>
      <c r="J38" s="81"/>
      <c r="K38" s="81"/>
      <c r="L38" s="82"/>
      <c r="M38" s="82"/>
      <c r="N38" s="82"/>
      <c r="O38" s="83"/>
      <c r="P38" s="90"/>
      <c r="Q38" s="82"/>
      <c r="R38" s="82"/>
      <c r="S38" s="82"/>
      <c r="T38" s="85"/>
      <c r="U38" s="784"/>
      <c r="V38" s="784"/>
      <c r="W38" s="86"/>
      <c r="X38" s="784"/>
      <c r="Y38" s="784"/>
      <c r="Z38" s="86"/>
      <c r="AA38" s="86"/>
      <c r="AB38" s="86"/>
      <c r="AC38" s="86"/>
      <c r="AD38" s="86"/>
      <c r="AE38" s="86"/>
      <c r="IQ38" s="86"/>
      <c r="IR38" s="86"/>
      <c r="IS38" s="86"/>
      <c r="IT38" s="86"/>
      <c r="IU38" s="86"/>
      <c r="IV38" s="86"/>
    </row>
    <row r="39" spans="1:256" s="73" customFormat="1" ht="12" thickBot="1">
      <c r="A39" s="35"/>
      <c r="B39" s="35"/>
      <c r="C39" s="80"/>
      <c r="D39" s="80"/>
      <c r="E39" s="80"/>
      <c r="F39" s="80"/>
      <c r="G39" s="80"/>
      <c r="H39" s="80"/>
      <c r="I39" s="81"/>
      <c r="J39" s="81"/>
      <c r="K39" s="81"/>
      <c r="L39" s="82"/>
      <c r="M39" s="82"/>
      <c r="N39" s="82"/>
      <c r="O39" s="83"/>
      <c r="P39" s="90"/>
      <c r="Q39" s="82"/>
      <c r="R39" s="82"/>
      <c r="S39" s="82"/>
      <c r="T39" s="9"/>
      <c r="U39" s="783"/>
      <c r="V39" s="783"/>
      <c r="W39" s="1"/>
      <c r="X39" s="783"/>
      <c r="Y39" s="783"/>
      <c r="Z39" s="1"/>
      <c r="AA39" s="1"/>
      <c r="AB39" s="1"/>
      <c r="AC39" s="1"/>
      <c r="AD39" s="1"/>
      <c r="AE39" s="1"/>
      <c r="IQ39" s="86"/>
      <c r="IR39" s="86"/>
      <c r="IS39" s="86"/>
      <c r="IT39" s="86"/>
      <c r="IU39" s="86"/>
      <c r="IV39" s="86"/>
    </row>
    <row r="40" spans="1:256" ht="12" thickBot="1">
      <c r="A40" s="1012" t="s">
        <v>164</v>
      </c>
      <c r="B40" s="1013"/>
      <c r="C40" s="1014"/>
      <c r="D40" s="1014"/>
      <c r="E40" s="1014"/>
      <c r="F40" s="1014"/>
      <c r="G40" s="1014"/>
      <c r="H40" s="1014"/>
      <c r="I40" s="1015"/>
      <c r="J40" s="1015"/>
      <c r="K40" s="1015"/>
      <c r="L40" s="1016"/>
      <c r="M40" s="1016"/>
      <c r="N40" s="1017"/>
      <c r="O40" s="1018"/>
      <c r="P40" s="1019"/>
      <c r="Q40" s="1020"/>
      <c r="R40" s="1020"/>
      <c r="S40" s="1016"/>
      <c r="T40" s="1021"/>
      <c r="U40" s="1022"/>
      <c r="V40" s="1022"/>
      <c r="W40" s="1023"/>
      <c r="X40" s="1022"/>
      <c r="Y40" s="1022"/>
      <c r="Z40" s="1024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</row>
    <row r="41" spans="1:256" ht="12" thickTop="1">
      <c r="A41" s="970" t="s">
        <v>355</v>
      </c>
      <c r="B41" s="44"/>
      <c r="C41" s="93"/>
      <c r="D41" s="93"/>
      <c r="E41" s="93"/>
      <c r="F41" s="93"/>
      <c r="G41" s="93"/>
      <c r="H41" s="93"/>
      <c r="I41" s="94"/>
      <c r="J41" s="94"/>
      <c r="K41" s="94"/>
      <c r="L41" s="95"/>
      <c r="M41" s="95"/>
      <c r="N41" s="96"/>
      <c r="O41" s="97"/>
      <c r="P41" s="98"/>
      <c r="Q41" s="99"/>
      <c r="R41" s="99"/>
      <c r="S41" s="95"/>
      <c r="T41" s="931"/>
      <c r="U41" s="839"/>
      <c r="V41" s="839"/>
      <c r="W41" s="840"/>
      <c r="X41" s="839"/>
      <c r="Y41" s="839"/>
      <c r="Z41" s="971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</row>
    <row r="42" spans="1:256">
      <c r="A42" s="972"/>
      <c r="B42" s="102" t="s">
        <v>354</v>
      </c>
      <c r="C42" s="103"/>
      <c r="D42" s="103"/>
      <c r="E42" s="103"/>
      <c r="F42" s="103"/>
      <c r="G42" s="103"/>
      <c r="H42" s="103"/>
      <c r="I42" s="104"/>
      <c r="J42" s="104"/>
      <c r="K42" s="104"/>
      <c r="L42" s="105"/>
      <c r="M42" s="105"/>
      <c r="N42" s="106"/>
      <c r="O42" s="107"/>
      <c r="P42" s="108"/>
      <c r="Q42" s="109"/>
      <c r="R42" s="109"/>
      <c r="S42" s="932"/>
      <c r="T42" s="926"/>
      <c r="U42" s="784"/>
      <c r="V42" s="784"/>
      <c r="W42" s="86"/>
      <c r="X42" s="784"/>
      <c r="Y42" s="784"/>
      <c r="Z42" s="9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</row>
    <row r="43" spans="1:256">
      <c r="A43" s="972"/>
      <c r="B43" s="35" t="s">
        <v>277</v>
      </c>
      <c r="C43" s="111"/>
      <c r="D43" s="111"/>
      <c r="E43" s="111"/>
      <c r="F43" s="111"/>
      <c r="G43" s="111"/>
      <c r="H43" s="111"/>
      <c r="I43" s="112"/>
      <c r="J43" s="112"/>
      <c r="K43" s="112"/>
      <c r="L43" s="113"/>
      <c r="M43" s="113"/>
      <c r="N43" s="114"/>
      <c r="O43" s="115"/>
      <c r="P43" s="116"/>
      <c r="Q43" s="117"/>
      <c r="R43" s="117"/>
      <c r="S43" s="876"/>
      <c r="T43" s="926"/>
      <c r="U43" s="784"/>
      <c r="V43" s="784"/>
      <c r="W43" s="86"/>
      <c r="X43" s="784"/>
      <c r="Y43" s="784"/>
      <c r="Z43" s="9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</row>
    <row r="44" spans="1:256" ht="12" thickBot="1">
      <c r="A44" s="974"/>
      <c r="B44" s="44" t="s">
        <v>278</v>
      </c>
      <c r="C44" s="45">
        <v>0</v>
      </c>
      <c r="D44" s="45">
        <v>0</v>
      </c>
      <c r="E44" s="45">
        <v>4</v>
      </c>
      <c r="F44" s="45">
        <v>0</v>
      </c>
      <c r="G44" s="45">
        <v>0</v>
      </c>
      <c r="H44" s="45">
        <f>SUM(C44:G44)</f>
        <v>4</v>
      </c>
      <c r="I44" s="46">
        <f>D44*$O44</f>
        <v>0</v>
      </c>
      <c r="J44" s="46">
        <f>E44*$O44</f>
        <v>12.8</v>
      </c>
      <c r="K44" s="46">
        <f>F44*$O44</f>
        <v>0</v>
      </c>
      <c r="L44" s="47">
        <f>((C44*$C$5)+(D44*$D$5)+(E44*$E$5)+(F44*$F$5)+(G44*$G$5))</f>
        <v>303.23999999999995</v>
      </c>
      <c r="M44" s="47">
        <v>0</v>
      </c>
      <c r="N44" s="119">
        <v>0</v>
      </c>
      <c r="O44" s="49">
        <f>0.05*P9+0.05*P8</f>
        <v>3.2</v>
      </c>
      <c r="P44" s="50">
        <f>(C44+D44+E44+F44+G44)*O44</f>
        <v>12.8</v>
      </c>
      <c r="Q44" s="51">
        <f>M44*O44</f>
        <v>0</v>
      </c>
      <c r="R44" s="51">
        <f>N44*O44</f>
        <v>0</v>
      </c>
      <c r="S44" s="875">
        <f>(L44+M44+N44)*O44</f>
        <v>970.36799999999994</v>
      </c>
      <c r="T44" s="926" t="s">
        <v>407</v>
      </c>
      <c r="U44" s="784" t="str">
        <f>IF($T44="RP",O44,"")</f>
        <v/>
      </c>
      <c r="V44" s="784" t="str">
        <f>IF($T44="RP",P44,"")</f>
        <v/>
      </c>
      <c r="W44" s="86" t="str">
        <f>IF($T44="RP",SUM(Q44:R44),"")</f>
        <v/>
      </c>
      <c r="X44" s="784">
        <f>IF($T44="RK",O44,"")</f>
        <v>3.2</v>
      </c>
      <c r="Y44" s="784">
        <f>IF($T44="RK",P44,"")</f>
        <v>12.8</v>
      </c>
      <c r="Z44" s="973">
        <f>IF($T44="Rk",SUM(Q44:R44),"")</f>
        <v>0</v>
      </c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</row>
    <row r="45" spans="1:256" ht="12.75" thickTop="1" thickBot="1">
      <c r="A45" s="975" t="s">
        <v>29</v>
      </c>
      <c r="B45" s="120"/>
      <c r="C45" s="55">
        <f t="shared" ref="C45:H45" si="8">SUM(C41:C44)</f>
        <v>0</v>
      </c>
      <c r="D45" s="55">
        <f t="shared" si="8"/>
        <v>0</v>
      </c>
      <c r="E45" s="55">
        <f t="shared" si="8"/>
        <v>4</v>
      </c>
      <c r="F45" s="55">
        <f t="shared" si="8"/>
        <v>0</v>
      </c>
      <c r="G45" s="55">
        <f t="shared" si="8"/>
        <v>0</v>
      </c>
      <c r="H45" s="55">
        <f t="shared" si="8"/>
        <v>4</v>
      </c>
      <c r="I45" s="56"/>
      <c r="J45" s="56"/>
      <c r="K45" s="56"/>
      <c r="L45" s="57">
        <f>SUM(L41:L44)</f>
        <v>303.23999999999995</v>
      </c>
      <c r="M45" s="57">
        <f>SUM(M41:M44)</f>
        <v>0</v>
      </c>
      <c r="N45" s="121">
        <f>SUM(N41:N44)</f>
        <v>0</v>
      </c>
      <c r="O45" s="59"/>
      <c r="P45" s="122">
        <f>SUM(P41:P44)</f>
        <v>12.8</v>
      </c>
      <c r="Q45" s="57">
        <f>SUM(Q41:Q44)</f>
        <v>0</v>
      </c>
      <c r="R45" s="57">
        <f>SUM(R41:R44)</f>
        <v>0</v>
      </c>
      <c r="S45" s="567">
        <f>SUM(S41:S44)</f>
        <v>970.36799999999994</v>
      </c>
      <c r="T45" s="77"/>
      <c r="U45" s="930">
        <f t="shared" ref="U45:Z45" si="9">SUM(U41:U44)</f>
        <v>0</v>
      </c>
      <c r="V45" s="853">
        <f t="shared" si="9"/>
        <v>0</v>
      </c>
      <c r="W45" s="57">
        <f t="shared" si="9"/>
        <v>0</v>
      </c>
      <c r="X45" s="853">
        <f t="shared" si="9"/>
        <v>3.2</v>
      </c>
      <c r="Y45" s="853">
        <f t="shared" si="9"/>
        <v>12.8</v>
      </c>
      <c r="Z45" s="976">
        <f t="shared" si="9"/>
        <v>0</v>
      </c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</row>
    <row r="46" spans="1:256" ht="12" thickTop="1">
      <c r="A46" s="970" t="s">
        <v>165</v>
      </c>
      <c r="B46" s="44"/>
      <c r="C46" s="93"/>
      <c r="D46" s="93"/>
      <c r="E46" s="93"/>
      <c r="F46" s="93"/>
      <c r="G46" s="93"/>
      <c r="H46" s="93"/>
      <c r="I46" s="94"/>
      <c r="J46" s="94"/>
      <c r="K46" s="94"/>
      <c r="L46" s="95"/>
      <c r="M46" s="95"/>
      <c r="N46" s="96"/>
      <c r="O46" s="97"/>
      <c r="P46" s="98"/>
      <c r="Q46" s="99"/>
      <c r="R46" s="99"/>
      <c r="S46" s="95"/>
      <c r="T46" s="926"/>
      <c r="U46" s="784"/>
      <c r="V46" s="784"/>
      <c r="W46" s="86"/>
      <c r="X46" s="784"/>
      <c r="Y46" s="784"/>
      <c r="Z46" s="9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</row>
    <row r="47" spans="1:256">
      <c r="A47" s="977"/>
      <c r="B47" s="123" t="s">
        <v>153</v>
      </c>
      <c r="C47" s="124">
        <v>0</v>
      </c>
      <c r="D47" s="125">
        <v>2</v>
      </c>
      <c r="E47" s="125">
        <v>10</v>
      </c>
      <c r="F47" s="125">
        <v>4</v>
      </c>
      <c r="G47" s="125">
        <v>0</v>
      </c>
      <c r="H47" s="125">
        <v>30</v>
      </c>
      <c r="I47" s="126"/>
      <c r="J47" s="126"/>
      <c r="K47" s="126"/>
      <c r="L47" s="47">
        <f>((C47*$C$5)+(D47*$D$5)+(E47*$E$5)+(F47*$F$5)+(G47*$G$5))</f>
        <v>1096.6759999999999</v>
      </c>
      <c r="M47" s="47">
        <v>0</v>
      </c>
      <c r="N47" s="119">
        <v>8</v>
      </c>
      <c r="O47" s="49">
        <f>0.2*V10</f>
        <v>10.066666666666668</v>
      </c>
      <c r="P47" s="50">
        <f>(C47+D47+E47+F47+G47)*O47</f>
        <v>161.06666666666669</v>
      </c>
      <c r="Q47" s="127">
        <f>M47*O47</f>
        <v>0</v>
      </c>
      <c r="R47" s="128">
        <f>N47*O47</f>
        <v>80.533333333333346</v>
      </c>
      <c r="S47" s="875">
        <f>(L47+M47+N47)*O47</f>
        <v>11120.405066666668</v>
      </c>
      <c r="T47" s="926" t="s">
        <v>408</v>
      </c>
      <c r="U47" s="784">
        <f>IF($T47="RP",O47,"")</f>
        <v>10.066666666666668</v>
      </c>
      <c r="V47" s="784">
        <f>IF($T47="RP",P47,"")</f>
        <v>161.06666666666669</v>
      </c>
      <c r="W47" s="978">
        <f>IF($T47="RP",SUM(Q47:R47),"")</f>
        <v>80.533333333333346</v>
      </c>
      <c r="X47" s="784" t="str">
        <f>IF($T47="RK",O47,"")</f>
        <v/>
      </c>
      <c r="Y47" s="784" t="str">
        <f>IF($T47="RK",P47,"")</f>
        <v/>
      </c>
      <c r="Z47" s="973" t="str">
        <f>IF($T47="Rk",SUM(Q47:R47),"")</f>
        <v/>
      </c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</row>
    <row r="48" spans="1:256" ht="12" thickBot="1">
      <c r="A48" s="979"/>
      <c r="B48" s="130" t="s">
        <v>35</v>
      </c>
      <c r="C48" s="131">
        <v>0</v>
      </c>
      <c r="D48" s="131">
        <v>1</v>
      </c>
      <c r="E48" s="131">
        <v>5</v>
      </c>
      <c r="F48" s="131">
        <v>2</v>
      </c>
      <c r="G48" s="131">
        <v>0</v>
      </c>
      <c r="H48" s="131">
        <v>15</v>
      </c>
      <c r="I48" s="132"/>
      <c r="J48" s="132"/>
      <c r="K48" s="132"/>
      <c r="L48" s="47">
        <f>((C48*$C$5)+(D48*$D$5)+(E48*$E$5)+(F48*$F$5)+(G48*$G$5))</f>
        <v>548.33799999999997</v>
      </c>
      <c r="M48" s="47">
        <v>0</v>
      </c>
      <c r="N48" s="119">
        <v>8</v>
      </c>
      <c r="O48" s="49">
        <f>O47</f>
        <v>10.066666666666668</v>
      </c>
      <c r="P48" s="50">
        <f>(C48+D48+E48+F48+G48)*O48</f>
        <v>80.533333333333346</v>
      </c>
      <c r="Q48" s="51">
        <f>M48*O48</f>
        <v>0</v>
      </c>
      <c r="R48" s="51">
        <f>N48*O48</f>
        <v>80.533333333333346</v>
      </c>
      <c r="S48" s="875">
        <f>(L48+M48+N48)*O48</f>
        <v>5600.4692000000005</v>
      </c>
      <c r="T48" s="926" t="s">
        <v>408</v>
      </c>
      <c r="U48" s="784">
        <f>IF($T48="RP",O48,"")</f>
        <v>10.066666666666668</v>
      </c>
      <c r="V48" s="784">
        <f>IF($T48="RP",P48,"")</f>
        <v>80.533333333333346</v>
      </c>
      <c r="W48" s="978">
        <f>IF($T48="RP",SUM(Q48:R48),"")</f>
        <v>80.533333333333346</v>
      </c>
      <c r="X48" s="784" t="str">
        <f>IF($T48="RK",O48,"")</f>
        <v/>
      </c>
      <c r="Y48" s="784" t="str">
        <f>IF($T48="RK",P48,"")</f>
        <v/>
      </c>
      <c r="Z48" s="973" t="str">
        <f>IF($T48="Rk",SUM(Q48:R48),"")</f>
        <v/>
      </c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</row>
    <row r="49" spans="1:250" ht="12.75" thickTop="1" thickBot="1">
      <c r="A49" s="975" t="s">
        <v>29</v>
      </c>
      <c r="B49" s="120"/>
      <c r="C49" s="55">
        <f t="shared" ref="C49:H49" si="10">SUM(C47:C48)</f>
        <v>0</v>
      </c>
      <c r="D49" s="55">
        <f t="shared" si="10"/>
        <v>3</v>
      </c>
      <c r="E49" s="55">
        <f t="shared" si="10"/>
        <v>15</v>
      </c>
      <c r="F49" s="55">
        <f t="shared" si="10"/>
        <v>6</v>
      </c>
      <c r="G49" s="55">
        <f t="shared" si="10"/>
        <v>0</v>
      </c>
      <c r="H49" s="55">
        <f t="shared" si="10"/>
        <v>45</v>
      </c>
      <c r="I49" s="56"/>
      <c r="J49" s="56"/>
      <c r="K49" s="56"/>
      <c r="L49" s="57">
        <f>SUM(L47:L48)</f>
        <v>1645.0139999999999</v>
      </c>
      <c r="M49" s="57">
        <f>SUM(M47:M48)</f>
        <v>0</v>
      </c>
      <c r="N49" s="121">
        <f>SUM(N47:N48)</f>
        <v>16</v>
      </c>
      <c r="O49" s="59"/>
      <c r="P49" s="56">
        <f>SUM(P47:P48)</f>
        <v>241.60000000000002</v>
      </c>
      <c r="Q49" s="57">
        <f>SUM(Q47:Q48)</f>
        <v>0</v>
      </c>
      <c r="R49" s="57">
        <f>SUM(R47:R48)</f>
        <v>161.06666666666669</v>
      </c>
      <c r="S49" s="567">
        <f>SUM(S47:S48)</f>
        <v>16720.874266666669</v>
      </c>
      <c r="T49" s="926"/>
      <c r="U49" s="930">
        <f t="shared" ref="U49:Z49" si="11">SUM(U47:U48)</f>
        <v>20.133333333333336</v>
      </c>
      <c r="V49" s="853">
        <f t="shared" si="11"/>
        <v>241.60000000000002</v>
      </c>
      <c r="W49" s="57">
        <f t="shared" si="11"/>
        <v>161.06666666666669</v>
      </c>
      <c r="X49" s="853">
        <f t="shared" si="11"/>
        <v>0</v>
      </c>
      <c r="Y49" s="853">
        <f t="shared" si="11"/>
        <v>0</v>
      </c>
      <c r="Z49" s="976">
        <f t="shared" si="11"/>
        <v>0</v>
      </c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</row>
    <row r="50" spans="1:250" ht="12" thickTop="1">
      <c r="A50" s="980" t="s">
        <v>166</v>
      </c>
      <c r="B50" s="134"/>
      <c r="C50" s="135"/>
      <c r="D50" s="135"/>
      <c r="E50" s="135"/>
      <c r="F50" s="135"/>
      <c r="G50" s="135"/>
      <c r="H50" s="135"/>
      <c r="I50" s="136"/>
      <c r="J50" s="136"/>
      <c r="K50" s="136"/>
      <c r="L50" s="137"/>
      <c r="M50" s="137"/>
      <c r="N50" s="138"/>
      <c r="O50" s="139"/>
      <c r="P50" s="140"/>
      <c r="Q50" s="141"/>
      <c r="R50" s="141"/>
      <c r="S50" s="137"/>
      <c r="T50" s="926"/>
      <c r="U50" s="784"/>
      <c r="V50" s="784"/>
      <c r="W50" s="86"/>
      <c r="X50" s="784"/>
      <c r="Y50" s="784"/>
      <c r="Z50" s="9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</row>
    <row r="51" spans="1:250">
      <c r="A51" s="981"/>
      <c r="B51" s="144" t="s">
        <v>36</v>
      </c>
      <c r="C51" s="145"/>
      <c r="D51" s="146"/>
      <c r="E51" s="146"/>
      <c r="F51" s="146"/>
      <c r="G51" s="146"/>
      <c r="H51" s="146"/>
      <c r="I51" s="147"/>
      <c r="J51" s="147"/>
      <c r="K51" s="147"/>
      <c r="L51" s="148"/>
      <c r="M51" s="148"/>
      <c r="N51" s="149"/>
      <c r="O51" s="150"/>
      <c r="P51" s="151"/>
      <c r="Q51" s="152"/>
      <c r="R51" s="152"/>
      <c r="S51" s="933"/>
      <c r="T51" s="927"/>
      <c r="U51" s="835"/>
      <c r="V51" s="835"/>
      <c r="W51" s="256"/>
      <c r="X51" s="835"/>
      <c r="Y51" s="835"/>
      <c r="Z51" s="98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</row>
    <row r="52" spans="1:250">
      <c r="A52" s="983"/>
      <c r="B52" s="154" t="s">
        <v>37</v>
      </c>
      <c r="C52" s="45">
        <v>0</v>
      </c>
      <c r="D52" s="45">
        <v>2</v>
      </c>
      <c r="E52" s="45">
        <v>32</v>
      </c>
      <c r="F52" s="45">
        <v>8</v>
      </c>
      <c r="G52" s="45">
        <v>20</v>
      </c>
      <c r="H52" s="45">
        <f>SUM(C52:G52)</f>
        <v>62</v>
      </c>
      <c r="I52" s="46">
        <f>D52*$O52</f>
        <v>64</v>
      </c>
      <c r="J52" s="46">
        <f>E52*$O52</f>
        <v>1024</v>
      </c>
      <c r="K52" s="46">
        <f>F52*$O52</f>
        <v>256</v>
      </c>
      <c r="L52" s="47">
        <f>((C52*$C$5)+(D52*$D$5)+(E52*$E$5)+(F52*$F$5)+(G52*$G$5))</f>
        <v>4823.7280000000001</v>
      </c>
      <c r="M52" s="47">
        <v>0</v>
      </c>
      <c r="N52" s="119">
        <v>8</v>
      </c>
      <c r="O52" s="49">
        <f>0.5*(P9+P8)</f>
        <v>32</v>
      </c>
      <c r="P52" s="50">
        <f>(C52+D52+E52+F52+G52)*O52</f>
        <v>1984</v>
      </c>
      <c r="Q52" s="155">
        <f>M52*O52</f>
        <v>0</v>
      </c>
      <c r="R52" s="156">
        <f>N52*O52</f>
        <v>256</v>
      </c>
      <c r="S52" s="875">
        <f>(L52+M52+N52)*O52</f>
        <v>154615.296</v>
      </c>
      <c r="T52" s="928" t="s">
        <v>408</v>
      </c>
      <c r="U52" s="842">
        <f>IF($T52="RP",O52,"")</f>
        <v>32</v>
      </c>
      <c r="V52" s="842">
        <f>IF($T52="RP",P52,"")</f>
        <v>1984</v>
      </c>
      <c r="W52" s="843">
        <f>IF($T52="RP",SUM(Q52:R52),"")</f>
        <v>256</v>
      </c>
      <c r="X52" s="842" t="str">
        <f>IF($T52="RK",O52,"")</f>
        <v/>
      </c>
      <c r="Y52" s="842" t="str">
        <f>IF($T52="RK",P52,"")</f>
        <v/>
      </c>
      <c r="Z52" s="984" t="str">
        <f>IF($T52="Rk",SUM(Q52:R52),"")</f>
        <v/>
      </c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</row>
    <row r="53" spans="1:250">
      <c r="A53" s="981"/>
      <c r="B53" s="157" t="s">
        <v>38</v>
      </c>
      <c r="C53" s="158">
        <v>0</v>
      </c>
      <c r="D53" s="159">
        <v>20</v>
      </c>
      <c r="E53" s="159">
        <v>80</v>
      </c>
      <c r="F53" s="159">
        <v>28</v>
      </c>
      <c r="G53" s="159">
        <v>500</v>
      </c>
      <c r="H53" s="45">
        <f>SUM(C53:G53)</f>
        <v>628</v>
      </c>
      <c r="I53" s="160"/>
      <c r="J53" s="160"/>
      <c r="K53" s="160"/>
      <c r="L53" s="47">
        <f>((C53*$C$5)+(D53*$D$5)+(E53*$E$5)+(F53*$F$5)+(G53*$G$5))</f>
        <v>56804.383999999998</v>
      </c>
      <c r="M53" s="47">
        <v>5000</v>
      </c>
      <c r="N53" s="757">
        <v>75000</v>
      </c>
      <c r="O53" s="49">
        <v>0</v>
      </c>
      <c r="P53" s="50">
        <f>(C53+D53+E53+F53+G53)*O53</f>
        <v>0</v>
      </c>
      <c r="Q53" s="155">
        <f>M53*O53</f>
        <v>0</v>
      </c>
      <c r="R53" s="156">
        <f>N53*O53</f>
        <v>0</v>
      </c>
      <c r="S53" s="875">
        <f>(L53+M53+N53)*O53</f>
        <v>0</v>
      </c>
      <c r="T53" s="928" t="s">
        <v>407</v>
      </c>
      <c r="U53" s="842" t="str">
        <f>IF($T53="RP",O53,"")</f>
        <v/>
      </c>
      <c r="V53" s="842" t="str">
        <f>IF($T53="RP",P53,"")</f>
        <v/>
      </c>
      <c r="W53" s="843" t="str">
        <f>IF($T53="RP",SUM(Q53:R53),"")</f>
        <v/>
      </c>
      <c r="X53" s="842">
        <f>IF($T53="RK",O53,"")</f>
        <v>0</v>
      </c>
      <c r="Y53" s="842">
        <f>IF($T53="RK",P53,"")</f>
        <v>0</v>
      </c>
      <c r="Z53" s="984">
        <f>IF($T53="Rk",SUM(Q53:R53),"")</f>
        <v>0</v>
      </c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</row>
    <row r="54" spans="1:250">
      <c r="A54" s="981"/>
      <c r="B54" s="157" t="s">
        <v>39</v>
      </c>
      <c r="C54" s="131"/>
      <c r="D54" s="131"/>
      <c r="E54" s="131"/>
      <c r="F54" s="131"/>
      <c r="G54" s="131"/>
      <c r="H54" s="131"/>
      <c r="I54" s="132"/>
      <c r="J54" s="132"/>
      <c r="K54" s="132"/>
      <c r="L54" s="161"/>
      <c r="M54" s="161"/>
      <c r="N54" s="162"/>
      <c r="O54" s="115"/>
      <c r="P54" s="163"/>
      <c r="Q54" s="164"/>
      <c r="R54" s="164"/>
      <c r="S54" s="82"/>
      <c r="T54" s="927"/>
      <c r="U54" s="835"/>
      <c r="V54" s="835"/>
      <c r="W54" s="256"/>
      <c r="X54" s="835"/>
      <c r="Y54" s="835"/>
      <c r="Z54" s="98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</row>
    <row r="55" spans="1:250">
      <c r="A55" s="972"/>
      <c r="B55" s="130" t="s">
        <v>40</v>
      </c>
      <c r="C55" s="131"/>
      <c r="D55" s="131"/>
      <c r="E55" s="131"/>
      <c r="F55" s="131"/>
      <c r="G55" s="131"/>
      <c r="H55" s="131"/>
      <c r="I55" s="132"/>
      <c r="J55" s="132"/>
      <c r="K55" s="132"/>
      <c r="L55" s="161"/>
      <c r="M55" s="161"/>
      <c r="N55" s="162"/>
      <c r="O55" s="115"/>
      <c r="P55" s="163"/>
      <c r="Q55" s="164"/>
      <c r="R55" s="164"/>
      <c r="S55" s="82"/>
      <c r="T55" s="926"/>
      <c r="U55" s="784"/>
      <c r="V55" s="784"/>
      <c r="W55" s="86"/>
      <c r="X55" s="784"/>
      <c r="Y55" s="784"/>
      <c r="Z55" s="9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</row>
    <row r="56" spans="1:250">
      <c r="A56" s="983"/>
      <c r="B56" s="165" t="s">
        <v>41</v>
      </c>
      <c r="C56" s="166">
        <v>0</v>
      </c>
      <c r="D56" s="167">
        <v>0</v>
      </c>
      <c r="E56" s="167">
        <v>1</v>
      </c>
      <c r="F56" s="167">
        <v>0</v>
      </c>
      <c r="G56" s="167">
        <v>0</v>
      </c>
      <c r="H56" s="45">
        <f>SUM(C56:G56)</f>
        <v>1</v>
      </c>
      <c r="I56" s="168"/>
      <c r="J56" s="168"/>
      <c r="K56" s="168"/>
      <c r="L56" s="47">
        <f>((C56*$C$5)+(D56*$D$5)+(E56*$E$5)+(F56*$F$5)+(G56*$G$5))</f>
        <v>75.809999999999988</v>
      </c>
      <c r="M56" s="142">
        <v>0</v>
      </c>
      <c r="N56" s="138">
        <v>0</v>
      </c>
      <c r="O56" s="169">
        <f>O52</f>
        <v>32</v>
      </c>
      <c r="P56" s="50">
        <f>(C56+D56+E56+F56+G56)*O56</f>
        <v>32</v>
      </c>
      <c r="Q56" s="171">
        <f>M56*O56</f>
        <v>0</v>
      </c>
      <c r="R56" s="171">
        <f>N56*O56</f>
        <v>0</v>
      </c>
      <c r="S56" s="875">
        <f>(L56+M56+N56)*O56</f>
        <v>2425.9199999999996</v>
      </c>
      <c r="T56" s="928" t="s">
        <v>407</v>
      </c>
      <c r="U56" s="842" t="str">
        <f>IF($T56="RP",O56,"")</f>
        <v/>
      </c>
      <c r="V56" s="842" t="str">
        <f>IF($T56="RP",P56,"")</f>
        <v/>
      </c>
      <c r="W56" s="843" t="str">
        <f>IF($T56="RP",SUM(Q56:R56),"")</f>
        <v/>
      </c>
      <c r="X56" s="842">
        <f>IF($T56="RK",O56,"")</f>
        <v>32</v>
      </c>
      <c r="Y56" s="842">
        <f>IF($T56="RK",P56,"")</f>
        <v>32</v>
      </c>
      <c r="Z56" s="984">
        <f>IF($T56="Rk",SUM(Q56:R56),"")</f>
        <v>0</v>
      </c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</row>
    <row r="57" spans="1:250">
      <c r="A57" s="985"/>
      <c r="B57" s="130" t="s">
        <v>42</v>
      </c>
      <c r="C57" s="131"/>
      <c r="D57" s="131"/>
      <c r="E57" s="131"/>
      <c r="F57" s="131"/>
      <c r="G57" s="131"/>
      <c r="H57" s="131"/>
      <c r="I57" s="132"/>
      <c r="J57" s="132"/>
      <c r="K57" s="132"/>
      <c r="L57" s="161"/>
      <c r="M57" s="161"/>
      <c r="N57" s="162"/>
      <c r="O57" s="115"/>
      <c r="P57" s="163"/>
      <c r="Q57" s="164"/>
      <c r="R57" s="164"/>
      <c r="S57" s="82"/>
      <c r="T57" s="926"/>
      <c r="U57" s="784"/>
      <c r="V57" s="784"/>
      <c r="W57" s="86"/>
      <c r="X57" s="784"/>
      <c r="Y57" s="784"/>
      <c r="Z57" s="9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</row>
    <row r="58" spans="1:250">
      <c r="A58" s="985"/>
      <c r="B58" s="130" t="s">
        <v>43</v>
      </c>
      <c r="C58" s="131"/>
      <c r="D58" s="131"/>
      <c r="E58" s="131"/>
      <c r="F58" s="131"/>
      <c r="G58" s="131"/>
      <c r="H58" s="131"/>
      <c r="I58" s="132"/>
      <c r="J58" s="132"/>
      <c r="K58" s="132"/>
      <c r="L58" s="161"/>
      <c r="M58" s="161"/>
      <c r="N58" s="162"/>
      <c r="O58" s="115"/>
      <c r="P58" s="163"/>
      <c r="Q58" s="164"/>
      <c r="R58" s="164"/>
      <c r="S58" s="82"/>
      <c r="T58" s="926"/>
      <c r="U58" s="784"/>
      <c r="V58" s="784"/>
      <c r="W58" s="86"/>
      <c r="X58" s="784"/>
      <c r="Y58" s="784"/>
      <c r="Z58" s="9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</row>
    <row r="59" spans="1:250">
      <c r="A59" s="985"/>
      <c r="B59" s="130" t="s">
        <v>44</v>
      </c>
      <c r="C59" s="131"/>
      <c r="D59" s="131"/>
      <c r="E59" s="131"/>
      <c r="F59" s="131"/>
      <c r="G59" s="131"/>
      <c r="H59" s="131"/>
      <c r="I59" s="132"/>
      <c r="J59" s="132"/>
      <c r="K59" s="132"/>
      <c r="L59" s="161"/>
      <c r="M59" s="161"/>
      <c r="N59" s="162"/>
      <c r="O59" s="115"/>
      <c r="P59" s="163"/>
      <c r="Q59" s="164"/>
      <c r="R59" s="164"/>
      <c r="S59" s="82"/>
      <c r="T59" s="926"/>
      <c r="U59" s="784"/>
      <c r="V59" s="784"/>
      <c r="W59" s="86"/>
      <c r="X59" s="784"/>
      <c r="Y59" s="784"/>
      <c r="Z59" s="9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</row>
    <row r="60" spans="1:250">
      <c r="A60" s="985"/>
      <c r="B60" s="130" t="s">
        <v>45</v>
      </c>
      <c r="C60" s="131"/>
      <c r="D60" s="131"/>
      <c r="E60" s="131"/>
      <c r="F60" s="131"/>
      <c r="G60" s="131"/>
      <c r="H60" s="131"/>
      <c r="I60" s="132"/>
      <c r="J60" s="132"/>
      <c r="K60" s="132"/>
      <c r="L60" s="161"/>
      <c r="M60" s="161"/>
      <c r="N60" s="162"/>
      <c r="O60" s="115"/>
      <c r="P60" s="163"/>
      <c r="Q60" s="164"/>
      <c r="R60" s="164"/>
      <c r="S60" s="82"/>
      <c r="T60" s="926"/>
      <c r="U60" s="784"/>
      <c r="V60" s="784"/>
      <c r="W60" s="86"/>
      <c r="X60" s="784"/>
      <c r="Y60" s="784"/>
      <c r="Z60" s="9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</row>
    <row r="61" spans="1:250" ht="12" thickBot="1">
      <c r="A61" s="986"/>
      <c r="B61" s="130" t="s">
        <v>46</v>
      </c>
      <c r="C61" s="131">
        <v>0</v>
      </c>
      <c r="D61" s="131">
        <v>1</v>
      </c>
      <c r="E61" s="131">
        <v>6</v>
      </c>
      <c r="F61" s="131">
        <v>4</v>
      </c>
      <c r="G61" s="131">
        <v>0</v>
      </c>
      <c r="H61" s="45">
        <f>SUM(C61:G61)</f>
        <v>11</v>
      </c>
      <c r="I61" s="132"/>
      <c r="J61" s="132"/>
      <c r="K61" s="132"/>
      <c r="L61" s="47">
        <f>((C61*$C$5)+(D61*$D$5)+(E61*$E$5)+(F61*$F$5)+(G61*$G$5))</f>
        <v>697.84399999999982</v>
      </c>
      <c r="M61" s="161">
        <v>0</v>
      </c>
      <c r="N61" s="162">
        <v>0</v>
      </c>
      <c r="O61" s="115">
        <v>0</v>
      </c>
      <c r="P61" s="163">
        <v>0</v>
      </c>
      <c r="Q61" s="164">
        <f>M61*O61</f>
        <v>0</v>
      </c>
      <c r="R61" s="164">
        <f>N61*O61</f>
        <v>0</v>
      </c>
      <c r="S61" s="875">
        <f>(L61+M61+N61)*O61</f>
        <v>0</v>
      </c>
      <c r="T61" s="926" t="s">
        <v>408</v>
      </c>
      <c r="U61" s="784">
        <f>IF($T61="RP",O61,"")</f>
        <v>0</v>
      </c>
      <c r="V61" s="784">
        <f>IF($T61="RP",P61,"")</f>
        <v>0</v>
      </c>
      <c r="W61" s="86">
        <f>IF($T61="RP",SUM(Q61:R61),"")</f>
        <v>0</v>
      </c>
      <c r="X61" s="784" t="str">
        <f>IF($T61="RK",O61,"")</f>
        <v/>
      </c>
      <c r="Y61" s="784" t="str">
        <f>IF($T61="RK",P61,"")</f>
        <v/>
      </c>
      <c r="Z61" s="973" t="str">
        <f>IF($T61="Rk",SUM(Q61:R61),"")</f>
        <v/>
      </c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</row>
    <row r="62" spans="1:250" ht="12.75" thickTop="1" thickBot="1">
      <c r="A62" s="987" t="s">
        <v>29</v>
      </c>
      <c r="B62" s="172"/>
      <c r="C62" s="173">
        <f t="shared" ref="C62:H62" si="12">SUM(C52:C61)</f>
        <v>0</v>
      </c>
      <c r="D62" s="173">
        <f t="shared" si="12"/>
        <v>23</v>
      </c>
      <c r="E62" s="173">
        <f t="shared" si="12"/>
        <v>119</v>
      </c>
      <c r="F62" s="173">
        <f t="shared" si="12"/>
        <v>40</v>
      </c>
      <c r="G62" s="173">
        <f t="shared" si="12"/>
        <v>520</v>
      </c>
      <c r="H62" s="173">
        <f t="shared" si="12"/>
        <v>702</v>
      </c>
      <c r="I62" s="174">
        <f>SUM(I51:I52)</f>
        <v>64</v>
      </c>
      <c r="J62" s="174">
        <f>SUM(J51:J52)</f>
        <v>1024</v>
      </c>
      <c r="K62" s="174">
        <f>SUM(K51:K52)</f>
        <v>256</v>
      </c>
      <c r="L62" s="72">
        <f t="shared" ref="L62:S62" si="13">SUM(L52:L61)</f>
        <v>62401.765999999996</v>
      </c>
      <c r="M62" s="72">
        <f t="shared" si="13"/>
        <v>5000</v>
      </c>
      <c r="N62" s="91">
        <f t="shared" si="13"/>
        <v>75008</v>
      </c>
      <c r="O62" s="175"/>
      <c r="P62" s="176">
        <f t="shared" si="13"/>
        <v>2016</v>
      </c>
      <c r="Q62" s="72">
        <f t="shared" si="13"/>
        <v>0</v>
      </c>
      <c r="R62" s="72">
        <f t="shared" si="13"/>
        <v>256</v>
      </c>
      <c r="S62" s="68">
        <f t="shared" si="13"/>
        <v>157041.21600000001</v>
      </c>
      <c r="T62" s="77"/>
      <c r="U62" s="850">
        <f t="shared" ref="U62:Z62" si="14">SUM(U52:U61)</f>
        <v>32</v>
      </c>
      <c r="V62" s="850">
        <f t="shared" si="14"/>
        <v>1984</v>
      </c>
      <c r="W62" s="72">
        <f t="shared" si="14"/>
        <v>256</v>
      </c>
      <c r="X62" s="850">
        <f t="shared" si="14"/>
        <v>32</v>
      </c>
      <c r="Y62" s="850">
        <f t="shared" si="14"/>
        <v>32</v>
      </c>
      <c r="Z62" s="988">
        <f t="shared" si="14"/>
        <v>0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</row>
    <row r="63" spans="1:250" ht="12" thickTop="1">
      <c r="A63" s="980" t="s">
        <v>346</v>
      </c>
      <c r="B63" s="177"/>
      <c r="C63" s="135"/>
      <c r="D63" s="135"/>
      <c r="E63" s="135"/>
      <c r="F63" s="135"/>
      <c r="G63" s="135"/>
      <c r="H63" s="135"/>
      <c r="I63" s="136"/>
      <c r="J63" s="136"/>
      <c r="K63" s="136"/>
      <c r="L63" s="137"/>
      <c r="M63" s="137"/>
      <c r="N63" s="138"/>
      <c r="O63" s="139"/>
      <c r="P63" s="140"/>
      <c r="Q63" s="141"/>
      <c r="R63" s="141"/>
      <c r="S63" s="137"/>
      <c r="T63" s="926"/>
      <c r="U63" s="784"/>
      <c r="V63" s="784"/>
      <c r="W63" s="86"/>
      <c r="X63" s="784"/>
      <c r="Y63" s="784"/>
      <c r="Z63" s="9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</row>
    <row r="64" spans="1:250" ht="12" thickBot="1">
      <c r="A64" s="980"/>
      <c r="B64" s="165" t="s">
        <v>167</v>
      </c>
      <c r="C64" s="167">
        <v>0</v>
      </c>
      <c r="D64" s="167">
        <v>2</v>
      </c>
      <c r="E64" s="167">
        <v>10</v>
      </c>
      <c r="F64" s="167">
        <v>4</v>
      </c>
      <c r="G64" s="167">
        <v>5</v>
      </c>
      <c r="H64" s="45">
        <f>SUM(C64:G64)</f>
        <v>21</v>
      </c>
      <c r="I64" s="168"/>
      <c r="J64" s="168"/>
      <c r="K64" s="168"/>
      <c r="L64" s="47">
        <f>((C64*$C$5)+(D64*$D$5)+(E64*$E$5)+(F64*$F$5)+(G64*$G$5))</f>
        <v>1574.636</v>
      </c>
      <c r="M64" s="142">
        <v>0</v>
      </c>
      <c r="N64" s="138">
        <v>8</v>
      </c>
      <c r="O64" s="169">
        <f>0.75*P10</f>
        <v>48</v>
      </c>
      <c r="P64" s="50">
        <f>(C64+D64+E64+F64+G64)*O64</f>
        <v>1008</v>
      </c>
      <c r="Q64" s="51">
        <f>M64*O64</f>
        <v>0</v>
      </c>
      <c r="R64" s="51">
        <f>N64*O64</f>
        <v>384</v>
      </c>
      <c r="S64" s="875">
        <f>(L64+M64+N64)*O64</f>
        <v>75966.527999999991</v>
      </c>
      <c r="T64" s="926" t="s">
        <v>408</v>
      </c>
      <c r="U64" s="784">
        <f>IF($T64="RP",O64,"")</f>
        <v>48</v>
      </c>
      <c r="V64" s="784">
        <f>IF($T64="RP",P64,"")</f>
        <v>1008</v>
      </c>
      <c r="W64" s="86">
        <f>IF($T64="RP",SUM(Q64:R64),"")</f>
        <v>384</v>
      </c>
      <c r="X64" s="784" t="str">
        <f>IF($T64="RK",O64,"")</f>
        <v/>
      </c>
      <c r="Y64" s="784" t="str">
        <f>IF($T64="RK",P64,"")</f>
        <v/>
      </c>
      <c r="Z64" s="973" t="str">
        <f>IF($T64="Rk",SUM(Q64:R64),"")</f>
        <v/>
      </c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</row>
    <row r="65" spans="1:256" ht="12.75" thickTop="1" thickBot="1">
      <c r="A65" s="987" t="s">
        <v>29</v>
      </c>
      <c r="B65" s="172"/>
      <c r="C65" s="173">
        <f t="shared" ref="C65:R65" si="15">SUM(C64:C64)</f>
        <v>0</v>
      </c>
      <c r="D65" s="173">
        <f t="shared" si="15"/>
        <v>2</v>
      </c>
      <c r="E65" s="173">
        <f t="shared" si="15"/>
        <v>10</v>
      </c>
      <c r="F65" s="173">
        <f t="shared" si="15"/>
        <v>4</v>
      </c>
      <c r="G65" s="173">
        <f t="shared" si="15"/>
        <v>5</v>
      </c>
      <c r="H65" s="173">
        <f t="shared" si="15"/>
        <v>21</v>
      </c>
      <c r="I65" s="174">
        <f t="shared" si="15"/>
        <v>0</v>
      </c>
      <c r="J65" s="174">
        <f t="shared" si="15"/>
        <v>0</v>
      </c>
      <c r="K65" s="174">
        <f t="shared" si="15"/>
        <v>0</v>
      </c>
      <c r="L65" s="72">
        <f t="shared" si="15"/>
        <v>1574.636</v>
      </c>
      <c r="M65" s="72">
        <f t="shared" si="15"/>
        <v>0</v>
      </c>
      <c r="N65" s="91">
        <f t="shared" si="15"/>
        <v>8</v>
      </c>
      <c r="O65" s="175"/>
      <c r="P65" s="178">
        <f t="shared" si="15"/>
        <v>1008</v>
      </c>
      <c r="Q65" s="179">
        <f t="shared" si="15"/>
        <v>0</v>
      </c>
      <c r="R65" s="179">
        <f t="shared" si="15"/>
        <v>384</v>
      </c>
      <c r="S65" s="68">
        <f>SUM(S64:S64)</f>
        <v>75966.527999999991</v>
      </c>
      <c r="T65" s="77"/>
      <c r="U65" s="850">
        <f t="shared" ref="U65:Z65" si="16">SUM(U64:U64)</f>
        <v>48</v>
      </c>
      <c r="V65" s="850">
        <f t="shared" si="16"/>
        <v>1008</v>
      </c>
      <c r="W65" s="72">
        <f t="shared" si="16"/>
        <v>384</v>
      </c>
      <c r="X65" s="850">
        <f t="shared" si="16"/>
        <v>0</v>
      </c>
      <c r="Y65" s="850">
        <f t="shared" si="16"/>
        <v>0</v>
      </c>
      <c r="Z65" s="988">
        <f t="shared" si="16"/>
        <v>0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</row>
    <row r="66" spans="1:256" ht="12" thickTop="1">
      <c r="A66" s="980" t="s">
        <v>168</v>
      </c>
      <c r="B66" s="177"/>
      <c r="C66" s="135"/>
      <c r="D66" s="135"/>
      <c r="E66" s="135"/>
      <c r="F66" s="135"/>
      <c r="G66" s="135"/>
      <c r="H66" s="135"/>
      <c r="I66" s="136"/>
      <c r="J66" s="136"/>
      <c r="K66" s="136"/>
      <c r="L66" s="137"/>
      <c r="M66" s="137"/>
      <c r="N66" s="138"/>
      <c r="O66" s="139"/>
      <c r="P66" s="140"/>
      <c r="Q66" s="141"/>
      <c r="R66" s="141"/>
      <c r="S66" s="137"/>
      <c r="T66" s="926"/>
      <c r="U66" s="784"/>
      <c r="V66" s="784"/>
      <c r="W66" s="86"/>
      <c r="X66" s="784"/>
      <c r="Y66" s="784"/>
      <c r="Z66" s="9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</row>
    <row r="67" spans="1:256">
      <c r="A67" s="989"/>
      <c r="B67" s="130" t="s">
        <v>47</v>
      </c>
      <c r="C67" s="131"/>
      <c r="D67" s="131"/>
      <c r="E67" s="131"/>
      <c r="F67" s="131"/>
      <c r="G67" s="131"/>
      <c r="H67" s="131"/>
      <c r="I67" s="132"/>
      <c r="J67" s="132"/>
      <c r="K67" s="132"/>
      <c r="L67" s="161"/>
      <c r="M67" s="161"/>
      <c r="N67" s="162"/>
      <c r="O67" s="115"/>
      <c r="P67" s="163"/>
      <c r="Q67" s="164"/>
      <c r="R67" s="164"/>
      <c r="S67" s="82"/>
      <c r="T67" s="926"/>
      <c r="U67" s="784"/>
      <c r="V67" s="784"/>
      <c r="W67" s="86"/>
      <c r="X67" s="784"/>
      <c r="Y67" s="784"/>
      <c r="Z67" s="9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</row>
    <row r="68" spans="1:256">
      <c r="A68" s="980"/>
      <c r="B68" s="165" t="s">
        <v>48</v>
      </c>
      <c r="C68" s="167">
        <v>0</v>
      </c>
      <c r="D68" s="167">
        <v>2</v>
      </c>
      <c r="E68" s="167">
        <v>16</v>
      </c>
      <c r="F68" s="167">
        <v>2</v>
      </c>
      <c r="G68" s="167">
        <v>0</v>
      </c>
      <c r="H68" s="45">
        <f>SUM(C68:G68)</f>
        <v>20</v>
      </c>
      <c r="I68" s="168"/>
      <c r="J68" s="168"/>
      <c r="K68" s="168"/>
      <c r="L68" s="47">
        <f>((C68*$C$5)+(D68*$D$5)+(E68*$E$5)+(F68*$F$5)+(G68*$G$5))</f>
        <v>1477.8399999999997</v>
      </c>
      <c r="M68" s="142">
        <v>0</v>
      </c>
      <c r="N68" s="138">
        <v>8</v>
      </c>
      <c r="O68" s="169">
        <f>39/3</f>
        <v>13</v>
      </c>
      <c r="P68" s="170">
        <v>0</v>
      </c>
      <c r="Q68" s="171">
        <f>M68*O68</f>
        <v>0</v>
      </c>
      <c r="R68" s="171">
        <f>N68*O68</f>
        <v>104</v>
      </c>
      <c r="S68" s="875">
        <f>(L68+M68+N68)*O68</f>
        <v>19315.919999999995</v>
      </c>
      <c r="T68" s="926" t="s">
        <v>408</v>
      </c>
      <c r="U68" s="784">
        <f>IF($T68="RP",O68,"")</f>
        <v>13</v>
      </c>
      <c r="V68" s="784">
        <f>IF($T68="RP",P68,"")</f>
        <v>0</v>
      </c>
      <c r="W68" s="86">
        <f>IF($T68="RP",SUM(Q68:R68),"")</f>
        <v>104</v>
      </c>
      <c r="X68" s="784" t="str">
        <f>IF($T68="RK",O68,"")</f>
        <v/>
      </c>
      <c r="Y68" s="784" t="str">
        <f>IF($T68="RK",P68,"")</f>
        <v/>
      </c>
      <c r="Z68" s="973" t="str">
        <f>IF($T68="Rk",SUM(Q68:R68),"")</f>
        <v/>
      </c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</row>
    <row r="69" spans="1:256" ht="12" thickBot="1">
      <c r="A69" s="990"/>
      <c r="B69" s="130" t="s">
        <v>149</v>
      </c>
      <c r="C69" s="131">
        <v>0</v>
      </c>
      <c r="D69" s="131">
        <v>0</v>
      </c>
      <c r="E69" s="131">
        <v>0.1</v>
      </c>
      <c r="F69" s="131">
        <v>0</v>
      </c>
      <c r="G69" s="131">
        <v>0</v>
      </c>
      <c r="H69" s="45">
        <f>SUM(C69:G69)</f>
        <v>0.1</v>
      </c>
      <c r="I69" s="132"/>
      <c r="J69" s="132"/>
      <c r="K69" s="132"/>
      <c r="L69" s="47">
        <f>((C69*$C$5)+(D69*$D$5)+(E69*$E$5)+(F69*$F$5)+(G69*$G$5))</f>
        <v>7.5809999999999995</v>
      </c>
      <c r="M69" s="161">
        <v>0</v>
      </c>
      <c r="N69" s="162">
        <v>0</v>
      </c>
      <c r="O69" s="169">
        <v>0</v>
      </c>
      <c r="P69" s="170">
        <v>0</v>
      </c>
      <c r="Q69" s="171">
        <f>M69*O69</f>
        <v>0</v>
      </c>
      <c r="R69" s="171">
        <f>N69*O69</f>
        <v>0</v>
      </c>
      <c r="S69" s="137">
        <v>0</v>
      </c>
      <c r="T69" s="926" t="s">
        <v>408</v>
      </c>
      <c r="U69" s="784">
        <f>IF($T69="RP",O69,"")</f>
        <v>0</v>
      </c>
      <c r="V69" s="784">
        <f>IF($T69="RP",P69,"")</f>
        <v>0</v>
      </c>
      <c r="W69" s="86">
        <f>IF($T69="RP",SUM(Q69:R69),"")</f>
        <v>0</v>
      </c>
      <c r="X69" s="784" t="str">
        <f>IF($T69="RK",O69,"")</f>
        <v/>
      </c>
      <c r="Y69" s="784" t="str">
        <f>IF($T69="RK",P69,"")</f>
        <v/>
      </c>
      <c r="Z69" s="973" t="str">
        <f>IF($T69="Rk",SUM(Q69:R69),"")</f>
        <v/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</row>
    <row r="70" spans="1:256" ht="12.75" thickTop="1" thickBot="1">
      <c r="A70" s="987" t="s">
        <v>29</v>
      </c>
      <c r="B70" s="172"/>
      <c r="C70" s="173">
        <f t="shared" ref="C70:Z70" si="17">SUM(C68:C68)</f>
        <v>0</v>
      </c>
      <c r="D70" s="173">
        <f t="shared" si="17"/>
        <v>2</v>
      </c>
      <c r="E70" s="173">
        <f t="shared" si="17"/>
        <v>16</v>
      </c>
      <c r="F70" s="173">
        <f t="shared" si="17"/>
        <v>2</v>
      </c>
      <c r="G70" s="173">
        <f t="shared" si="17"/>
        <v>0</v>
      </c>
      <c r="H70" s="173">
        <f t="shared" si="17"/>
        <v>20</v>
      </c>
      <c r="I70" s="174">
        <f t="shared" si="17"/>
        <v>0</v>
      </c>
      <c r="J70" s="174">
        <f t="shared" si="17"/>
        <v>0</v>
      </c>
      <c r="K70" s="174">
        <f t="shared" si="17"/>
        <v>0</v>
      </c>
      <c r="L70" s="72">
        <f t="shared" si="17"/>
        <v>1477.8399999999997</v>
      </c>
      <c r="M70" s="72">
        <f t="shared" si="17"/>
        <v>0</v>
      </c>
      <c r="N70" s="91">
        <f t="shared" si="17"/>
        <v>8</v>
      </c>
      <c r="O70" s="175"/>
      <c r="P70" s="178">
        <f t="shared" si="17"/>
        <v>0</v>
      </c>
      <c r="Q70" s="179">
        <f t="shared" si="17"/>
        <v>0</v>
      </c>
      <c r="R70" s="179">
        <f t="shared" si="17"/>
        <v>104</v>
      </c>
      <c r="S70" s="68">
        <f t="shared" si="17"/>
        <v>19315.919999999995</v>
      </c>
      <c r="T70" s="77"/>
      <c r="U70" s="850">
        <f t="shared" si="17"/>
        <v>13</v>
      </c>
      <c r="V70" s="850">
        <f t="shared" si="17"/>
        <v>0</v>
      </c>
      <c r="W70" s="72">
        <f t="shared" si="17"/>
        <v>104</v>
      </c>
      <c r="X70" s="850">
        <f t="shared" si="17"/>
        <v>0</v>
      </c>
      <c r="Y70" s="850">
        <f t="shared" si="17"/>
        <v>0</v>
      </c>
      <c r="Z70" s="988">
        <f t="shared" si="17"/>
        <v>0</v>
      </c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</row>
    <row r="71" spans="1:256" ht="12" thickTop="1">
      <c r="A71" s="980" t="s">
        <v>169</v>
      </c>
      <c r="B71" s="177"/>
      <c r="C71" s="135"/>
      <c r="D71" s="135"/>
      <c r="E71" s="135"/>
      <c r="F71" s="135"/>
      <c r="G71" s="135"/>
      <c r="H71" s="135"/>
      <c r="I71" s="136"/>
      <c r="J71" s="136"/>
      <c r="K71" s="136"/>
      <c r="L71" s="137"/>
      <c r="M71" s="137"/>
      <c r="N71" s="138"/>
      <c r="O71" s="139"/>
      <c r="P71" s="140"/>
      <c r="Q71" s="141"/>
      <c r="R71" s="141"/>
      <c r="S71" s="137"/>
      <c r="T71" s="926"/>
      <c r="U71" s="784"/>
      <c r="V71" s="784"/>
      <c r="W71" s="86"/>
      <c r="X71" s="784"/>
      <c r="Y71" s="784"/>
      <c r="Z71" s="9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</row>
    <row r="72" spans="1:256" ht="12" thickBot="1">
      <c r="A72" s="980"/>
      <c r="B72" s="165" t="s">
        <v>170</v>
      </c>
      <c r="C72" s="167">
        <v>0</v>
      </c>
      <c r="D72" s="167">
        <v>0</v>
      </c>
      <c r="E72" s="167">
        <v>2</v>
      </c>
      <c r="F72" s="167">
        <v>0.5</v>
      </c>
      <c r="G72" s="167">
        <v>2</v>
      </c>
      <c r="H72" s="45">
        <f>SUM(C72:G72)</f>
        <v>4.5</v>
      </c>
      <c r="I72" s="168"/>
      <c r="J72" s="168"/>
      <c r="K72" s="168"/>
      <c r="L72" s="47">
        <f>((C72*$C$5)+(D72*$D$5)+(E72*$E$5)+(F72*$F$5)+(G72*$G$5))</f>
        <v>361.22799999999995</v>
      </c>
      <c r="M72" s="142">
        <v>0</v>
      </c>
      <c r="N72" s="138">
        <v>8</v>
      </c>
      <c r="O72" s="744">
        <f>P8*25%</f>
        <v>8</v>
      </c>
      <c r="P72" s="50">
        <f>(C72+D72+E72+F72+G72)*O72</f>
        <v>36</v>
      </c>
      <c r="Q72" s="51">
        <f>M72*O72</f>
        <v>0</v>
      </c>
      <c r="R72" s="51">
        <f>N72*O72</f>
        <v>64</v>
      </c>
      <c r="S72" s="875">
        <f>(L72+M72+N72)*O72</f>
        <v>2953.8239999999996</v>
      </c>
      <c r="T72" s="926" t="s">
        <v>407</v>
      </c>
      <c r="U72" s="784" t="str">
        <f>IF($T72="RP",O72,"")</f>
        <v/>
      </c>
      <c r="V72" s="784" t="str">
        <f>IF($T72="RP",P72,"")</f>
        <v/>
      </c>
      <c r="W72" s="86" t="str">
        <f>IF($T72="RP",SUM(Q72:R72),"")</f>
        <v/>
      </c>
      <c r="X72" s="784">
        <f>IF($T72="RK",O72,"")</f>
        <v>8</v>
      </c>
      <c r="Y72" s="784">
        <f>IF($T72="RK",P72,"")</f>
        <v>36</v>
      </c>
      <c r="Z72" s="973">
        <f>IF($T72="Rk",SUM(Q72:R72),"")</f>
        <v>64</v>
      </c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</row>
    <row r="73" spans="1:256" ht="12.75" thickTop="1" thickBot="1">
      <c r="A73" s="987" t="s">
        <v>29</v>
      </c>
      <c r="B73" s="172"/>
      <c r="C73" s="173">
        <f t="shared" ref="C73:S73" si="18">SUM(C72:C72)</f>
        <v>0</v>
      </c>
      <c r="D73" s="173">
        <f t="shared" si="18"/>
        <v>0</v>
      </c>
      <c r="E73" s="173">
        <f t="shared" si="18"/>
        <v>2</v>
      </c>
      <c r="F73" s="173">
        <f t="shared" si="18"/>
        <v>0.5</v>
      </c>
      <c r="G73" s="173">
        <f t="shared" si="18"/>
        <v>2</v>
      </c>
      <c r="H73" s="173">
        <f t="shared" si="18"/>
        <v>4.5</v>
      </c>
      <c r="I73" s="174">
        <f t="shared" si="18"/>
        <v>0</v>
      </c>
      <c r="J73" s="174">
        <f t="shared" si="18"/>
        <v>0</v>
      </c>
      <c r="K73" s="174">
        <f t="shared" si="18"/>
        <v>0</v>
      </c>
      <c r="L73" s="72">
        <f t="shared" si="18"/>
        <v>361.22799999999995</v>
      </c>
      <c r="M73" s="72">
        <f t="shared" si="18"/>
        <v>0</v>
      </c>
      <c r="N73" s="91">
        <f t="shared" si="18"/>
        <v>8</v>
      </c>
      <c r="O73" s="175"/>
      <c r="P73" s="178">
        <f t="shared" si="18"/>
        <v>36</v>
      </c>
      <c r="Q73" s="179">
        <f t="shared" si="18"/>
        <v>0</v>
      </c>
      <c r="R73" s="179">
        <f t="shared" si="18"/>
        <v>64</v>
      </c>
      <c r="S73" s="68">
        <f t="shared" si="18"/>
        <v>2953.8239999999996</v>
      </c>
      <c r="T73" s="77">
        <f t="shared" ref="T73:Z73" si="19">SUM(T72:T72)</f>
        <v>0</v>
      </c>
      <c r="U73" s="850">
        <f t="shared" si="19"/>
        <v>0</v>
      </c>
      <c r="V73" s="850">
        <f t="shared" si="19"/>
        <v>0</v>
      </c>
      <c r="W73" s="72">
        <f t="shared" si="19"/>
        <v>0</v>
      </c>
      <c r="X73" s="850">
        <f t="shared" si="19"/>
        <v>8</v>
      </c>
      <c r="Y73" s="850">
        <f t="shared" si="19"/>
        <v>36</v>
      </c>
      <c r="Z73" s="988">
        <f t="shared" si="19"/>
        <v>64</v>
      </c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3"/>
    </row>
    <row r="74" spans="1:256" ht="12" thickTop="1">
      <c r="A74" s="980" t="s">
        <v>150</v>
      </c>
      <c r="B74" s="177"/>
      <c r="C74" s="135"/>
      <c r="D74" s="135"/>
      <c r="E74" s="135"/>
      <c r="F74" s="135"/>
      <c r="G74" s="135"/>
      <c r="H74" s="135"/>
      <c r="I74" s="136"/>
      <c r="J74" s="136"/>
      <c r="K74" s="136"/>
      <c r="L74" s="137"/>
      <c r="M74" s="137"/>
      <c r="N74" s="138"/>
      <c r="O74" s="139"/>
      <c r="P74" s="140"/>
      <c r="Q74" s="141"/>
      <c r="R74" s="141"/>
      <c r="S74" s="137"/>
      <c r="T74" s="926"/>
      <c r="U74" s="784"/>
      <c r="V74" s="784"/>
      <c r="W74" s="86"/>
      <c r="X74" s="784"/>
      <c r="Y74" s="784"/>
      <c r="Z74" s="9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</row>
    <row r="75" spans="1:256">
      <c r="A75" s="989"/>
      <c r="B75" s="130" t="s">
        <v>172</v>
      </c>
      <c r="C75" s="131"/>
      <c r="D75" s="131"/>
      <c r="E75" s="131"/>
      <c r="F75" s="131"/>
      <c r="G75" s="131"/>
      <c r="H75" s="131"/>
      <c r="I75" s="132"/>
      <c r="J75" s="132"/>
      <c r="K75" s="132"/>
      <c r="L75" s="161"/>
      <c r="M75" s="161"/>
      <c r="N75" s="162"/>
      <c r="O75" s="115"/>
      <c r="P75" s="163"/>
      <c r="Q75" s="164"/>
      <c r="R75" s="164"/>
      <c r="S75" s="82"/>
      <c r="T75" s="926"/>
      <c r="U75" s="784"/>
      <c r="V75" s="784"/>
      <c r="W75" s="86"/>
      <c r="X75" s="784"/>
      <c r="Y75" s="784"/>
      <c r="Z75" s="9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</row>
    <row r="76" spans="1:256" ht="12" thickBot="1">
      <c r="A76" s="980"/>
      <c r="B76" s="165" t="s">
        <v>173</v>
      </c>
      <c r="C76" s="167">
        <v>0</v>
      </c>
      <c r="D76" s="167">
        <v>1</v>
      </c>
      <c r="E76" s="167">
        <v>2</v>
      </c>
      <c r="F76" s="167">
        <v>0.5</v>
      </c>
      <c r="G76" s="167">
        <v>16</v>
      </c>
      <c r="H76" s="45">
        <f>SUM(C76:G76)</f>
        <v>19.5</v>
      </c>
      <c r="I76" s="168"/>
      <c r="J76" s="168"/>
      <c r="K76" s="168"/>
      <c r="L76" s="47">
        <f>((C76*$C$5)+(D76*$D$5)+(E76*$E$5)+(F76*$F$5)+(G76*$G$5))</f>
        <v>1795.1079999999999</v>
      </c>
      <c r="M76" s="142">
        <v>0</v>
      </c>
      <c r="N76" s="138">
        <v>8</v>
      </c>
      <c r="O76" s="169">
        <v>0</v>
      </c>
      <c r="P76" s="50">
        <f>(C76+D76+E76+F76+G76)*O76</f>
        <v>0</v>
      </c>
      <c r="Q76" s="51">
        <f>M76*O76</f>
        <v>0</v>
      </c>
      <c r="R76" s="51">
        <f>N76*O76</f>
        <v>0</v>
      </c>
      <c r="S76" s="875">
        <f>(L76+M76+N76)*O76</f>
        <v>0</v>
      </c>
      <c r="T76" s="926" t="s">
        <v>408</v>
      </c>
      <c r="U76" s="784">
        <f>IF($T76="RP",O76,"")</f>
        <v>0</v>
      </c>
      <c r="V76" s="784">
        <f>IF($T76="RP",P76,"")</f>
        <v>0</v>
      </c>
      <c r="W76" s="86">
        <f>IF($T76="RP",SUM(Q76:R76),"")</f>
        <v>0</v>
      </c>
      <c r="X76" s="784" t="str">
        <f>IF($T76="RK",O76,"")</f>
        <v/>
      </c>
      <c r="Y76" s="784" t="str">
        <f>IF($T76="RK",P76,"")</f>
        <v/>
      </c>
      <c r="Z76" s="973" t="str">
        <f>IF($T76="Rk",SUM(Q76:R76),"")</f>
        <v/>
      </c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</row>
    <row r="77" spans="1:256" ht="12.75" thickTop="1" thickBot="1">
      <c r="A77" s="987" t="s">
        <v>29</v>
      </c>
      <c r="B77" s="172"/>
      <c r="C77" s="173">
        <f t="shared" ref="C77:S77" si="20">SUM(C76:C76)</f>
        <v>0</v>
      </c>
      <c r="D77" s="173">
        <f t="shared" si="20"/>
        <v>1</v>
      </c>
      <c r="E77" s="173">
        <f t="shared" si="20"/>
        <v>2</v>
      </c>
      <c r="F77" s="173">
        <f t="shared" si="20"/>
        <v>0.5</v>
      </c>
      <c r="G77" s="173">
        <f t="shared" si="20"/>
        <v>16</v>
      </c>
      <c r="H77" s="173">
        <f t="shared" si="20"/>
        <v>19.5</v>
      </c>
      <c r="I77" s="174">
        <f t="shared" si="20"/>
        <v>0</v>
      </c>
      <c r="J77" s="174">
        <f t="shared" si="20"/>
        <v>0</v>
      </c>
      <c r="K77" s="174">
        <f t="shared" si="20"/>
        <v>0</v>
      </c>
      <c r="L77" s="72">
        <f t="shared" si="20"/>
        <v>1795.1079999999999</v>
      </c>
      <c r="M77" s="72">
        <f t="shared" si="20"/>
        <v>0</v>
      </c>
      <c r="N77" s="91">
        <f t="shared" si="20"/>
        <v>8</v>
      </c>
      <c r="O77" s="175"/>
      <c r="P77" s="178">
        <f t="shared" si="20"/>
        <v>0</v>
      </c>
      <c r="Q77" s="179">
        <f t="shared" si="20"/>
        <v>0</v>
      </c>
      <c r="R77" s="179">
        <f t="shared" si="20"/>
        <v>0</v>
      </c>
      <c r="S77" s="68">
        <f t="shared" si="20"/>
        <v>0</v>
      </c>
      <c r="T77" s="77">
        <f t="shared" ref="T77:Z77" si="21">SUM(T76:T76)</f>
        <v>0</v>
      </c>
      <c r="U77" s="850">
        <f t="shared" si="21"/>
        <v>0</v>
      </c>
      <c r="V77" s="850">
        <f t="shared" si="21"/>
        <v>0</v>
      </c>
      <c r="W77" s="72">
        <f t="shared" si="21"/>
        <v>0</v>
      </c>
      <c r="X77" s="850">
        <f t="shared" si="21"/>
        <v>0</v>
      </c>
      <c r="Y77" s="850">
        <f t="shared" si="21"/>
        <v>0</v>
      </c>
      <c r="Z77" s="988">
        <f t="shared" si="21"/>
        <v>0</v>
      </c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</row>
    <row r="78" spans="1:256" ht="12" thickTop="1">
      <c r="A78" s="980" t="s">
        <v>171</v>
      </c>
      <c r="B78" s="177"/>
      <c r="C78" s="135"/>
      <c r="D78" s="135"/>
      <c r="E78" s="135"/>
      <c r="F78" s="135"/>
      <c r="G78" s="135"/>
      <c r="H78" s="135"/>
      <c r="I78" s="136"/>
      <c r="J78" s="136"/>
      <c r="K78" s="136"/>
      <c r="L78" s="137"/>
      <c r="M78" s="137"/>
      <c r="N78" s="138"/>
      <c r="O78" s="139"/>
      <c r="P78" s="140"/>
      <c r="Q78" s="141"/>
      <c r="R78" s="141"/>
      <c r="S78" s="137"/>
      <c r="T78" s="926"/>
      <c r="U78" s="784"/>
      <c r="V78" s="784"/>
      <c r="W78" s="86"/>
      <c r="X78" s="784"/>
      <c r="Y78" s="784"/>
      <c r="Z78" s="9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</row>
    <row r="79" spans="1:256">
      <c r="A79" s="989"/>
      <c r="B79" s="157" t="s">
        <v>49</v>
      </c>
      <c r="C79" s="146">
        <v>0</v>
      </c>
      <c r="D79" s="146">
        <v>6</v>
      </c>
      <c r="E79" s="146">
        <v>50</v>
      </c>
      <c r="F79" s="146">
        <v>8</v>
      </c>
      <c r="G79" s="146">
        <v>32</v>
      </c>
      <c r="H79" s="111">
        <f>SUM(C79:G79)</f>
        <v>96</v>
      </c>
      <c r="I79" s="147"/>
      <c r="J79" s="147"/>
      <c r="K79" s="147"/>
      <c r="L79" s="113">
        <f>((C79*$C$5)+(D79*$D$5)+(E79*$E$5)+(F79*$F$5)+(G79*$G$5))</f>
        <v>7717.7799999999988</v>
      </c>
      <c r="M79" s="148">
        <v>0</v>
      </c>
      <c r="N79" s="149">
        <v>0</v>
      </c>
      <c r="O79" s="807">
        <f>P10</f>
        <v>64</v>
      </c>
      <c r="P79" s="182">
        <f>(C79+D79+E79+F79+G79)*O79</f>
        <v>6144</v>
      </c>
      <c r="Q79" s="51">
        <f>M79*O79</f>
        <v>0</v>
      </c>
      <c r="R79" s="51">
        <f>N79*O79</f>
        <v>0</v>
      </c>
      <c r="S79" s="571">
        <f>(L79+M79+N79)*O79</f>
        <v>493937.91999999993</v>
      </c>
      <c r="T79" s="926" t="s">
        <v>407</v>
      </c>
      <c r="U79" s="784" t="str">
        <f>IF($T79="RP",O79,"")</f>
        <v/>
      </c>
      <c r="V79" s="784" t="str">
        <f>IF($T79="RP",P79,"")</f>
        <v/>
      </c>
      <c r="W79" s="86" t="str">
        <f>IF($T79="RP",SUM(Q79:R79),"")</f>
        <v/>
      </c>
      <c r="X79" s="784">
        <f>IF($T79="RK",O79,"")</f>
        <v>64</v>
      </c>
      <c r="Y79" s="784">
        <f>IF($T79="RK",P79,"")</f>
        <v>6144</v>
      </c>
      <c r="Z79" s="973">
        <f>IF($T79="Rk",SUM(Q79:R79),"")</f>
        <v>0</v>
      </c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</row>
    <row r="80" spans="1:256" s="73" customFormat="1">
      <c r="A80" s="991"/>
      <c r="B80" s="184" t="s">
        <v>174</v>
      </c>
      <c r="C80" s="159">
        <v>0</v>
      </c>
      <c r="D80" s="159">
        <v>1</v>
      </c>
      <c r="E80" s="159">
        <v>5</v>
      </c>
      <c r="F80" s="159">
        <v>2</v>
      </c>
      <c r="G80" s="159">
        <v>5</v>
      </c>
      <c r="H80" s="185">
        <f>SUM(C80:G80)</f>
        <v>13</v>
      </c>
      <c r="I80" s="160"/>
      <c r="J80" s="160"/>
      <c r="K80" s="160"/>
      <c r="L80" s="186">
        <f>((C80*$C$5)+(D80*$D$5)+(E80*$E$5)+(F80*$F$5)+(G80*$G$5))</f>
        <v>1026.298</v>
      </c>
      <c r="M80" s="187">
        <v>0</v>
      </c>
      <c r="N80" s="188">
        <v>0</v>
      </c>
      <c r="O80" s="808">
        <f>O79</f>
        <v>64</v>
      </c>
      <c r="P80" s="189">
        <f>(C80+D80+E80+F80+G80)*O80</f>
        <v>832</v>
      </c>
      <c r="Q80" s="190">
        <f>M80*O80</f>
        <v>0</v>
      </c>
      <c r="R80" s="190">
        <f>N80*O80</f>
        <v>0</v>
      </c>
      <c r="S80" s="934">
        <f>(L80+M80+N80)*O80</f>
        <v>65683.072</v>
      </c>
      <c r="T80" s="935" t="s">
        <v>408</v>
      </c>
      <c r="U80" s="846">
        <f>IF($T80="RP",O80,"")</f>
        <v>64</v>
      </c>
      <c r="V80" s="846">
        <f>IF($T80="RP",P80,"")</f>
        <v>832</v>
      </c>
      <c r="W80" s="192">
        <f>IF($T80="RP",SUM(Q80:R80),"")</f>
        <v>0</v>
      </c>
      <c r="X80" s="846" t="str">
        <f>IF($T80="RK",O80,"")</f>
        <v/>
      </c>
      <c r="Y80" s="846" t="str">
        <f>IF($T80="RK",P80,"")</f>
        <v/>
      </c>
      <c r="Z80" s="992" t="str">
        <f>IF($T80="Rk",SUM(Q80:R80),"")</f>
        <v/>
      </c>
      <c r="AA80" s="1"/>
      <c r="AB80" s="1"/>
      <c r="AC80" s="192"/>
      <c r="AD80" s="192"/>
      <c r="AE80" s="192"/>
      <c r="AF80" s="193"/>
      <c r="AG80" s="193"/>
      <c r="IQ80" s="86"/>
      <c r="IR80" s="86"/>
      <c r="IS80" s="86"/>
      <c r="IT80" s="86"/>
      <c r="IU80" s="86"/>
      <c r="IV80" s="86"/>
    </row>
    <row r="81" spans="1:250">
      <c r="A81" s="990"/>
      <c r="B81" s="130" t="s">
        <v>51</v>
      </c>
      <c r="C81" s="131"/>
      <c r="D81" s="131"/>
      <c r="E81" s="131"/>
      <c r="F81" s="131"/>
      <c r="G81" s="131"/>
      <c r="H81" s="131"/>
      <c r="I81" s="132"/>
      <c r="J81" s="132"/>
      <c r="K81" s="132"/>
      <c r="L81" s="161"/>
      <c r="M81" s="161"/>
      <c r="N81" s="162"/>
      <c r="O81" s="115"/>
      <c r="P81" s="163"/>
      <c r="Q81" s="164"/>
      <c r="R81" s="164"/>
      <c r="S81" s="82"/>
      <c r="T81" s="926"/>
      <c r="U81" s="784"/>
      <c r="V81" s="784"/>
      <c r="W81" s="86"/>
      <c r="X81" s="784"/>
      <c r="Y81" s="784"/>
      <c r="Z81" s="9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</row>
    <row r="82" spans="1:250">
      <c r="A82" s="980"/>
      <c r="B82" s="165" t="s">
        <v>50</v>
      </c>
      <c r="C82" s="166">
        <v>0</v>
      </c>
      <c r="D82" s="167">
        <v>0</v>
      </c>
      <c r="E82" s="167">
        <v>0</v>
      </c>
      <c r="F82" s="167">
        <v>0.5</v>
      </c>
      <c r="G82" s="167">
        <v>0</v>
      </c>
      <c r="H82" s="45">
        <f>SUM(C82:G82)</f>
        <v>0.5</v>
      </c>
      <c r="I82" s="168"/>
      <c r="J82" s="168"/>
      <c r="K82" s="168"/>
      <c r="L82" s="47">
        <f>((C82*$C$5)+(D82*$D$5)+(E82*$E$5)+(F82*$F$5)+(G82*$G$5))</f>
        <v>18.423999999999999</v>
      </c>
      <c r="M82" s="142">
        <v>0</v>
      </c>
      <c r="N82" s="138">
        <v>0</v>
      </c>
      <c r="O82" s="169">
        <f>O79</f>
        <v>64</v>
      </c>
      <c r="P82" s="50">
        <f>(C82+D82+E82+F82+G82)*O82</f>
        <v>32</v>
      </c>
      <c r="Q82" s="155">
        <f>M82*O82</f>
        <v>0</v>
      </c>
      <c r="R82" s="156">
        <f>N82*O82</f>
        <v>0</v>
      </c>
      <c r="S82" s="875">
        <f>(L82+M82+N82)*O82</f>
        <v>1179.136</v>
      </c>
      <c r="T82" s="926" t="s">
        <v>408</v>
      </c>
      <c r="U82" s="784">
        <f>IF($T82="RP",O82,"")</f>
        <v>64</v>
      </c>
      <c r="V82" s="784">
        <f>IF($T82="RP",P82,"")</f>
        <v>32</v>
      </c>
      <c r="W82" s="86">
        <f>IF($T82="RP",SUM(Q82:R82),"")</f>
        <v>0</v>
      </c>
      <c r="X82" s="784" t="str">
        <f>IF($T82="RK",O82,"")</f>
        <v/>
      </c>
      <c r="Y82" s="784" t="str">
        <f>IF($T82="RK",P82,"")</f>
        <v/>
      </c>
      <c r="Z82" s="973" t="str">
        <f>IF($T82="Rk",SUM(Q82:R82),"")</f>
        <v/>
      </c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</row>
    <row r="83" spans="1:250">
      <c r="A83" s="990"/>
      <c r="B83" s="130" t="s">
        <v>52</v>
      </c>
      <c r="C83" s="131"/>
      <c r="D83" s="131"/>
      <c r="E83" s="131"/>
      <c r="F83" s="131"/>
      <c r="G83" s="131"/>
      <c r="H83" s="131"/>
      <c r="I83" s="132"/>
      <c r="J83" s="132"/>
      <c r="K83" s="132"/>
      <c r="L83" s="161"/>
      <c r="M83" s="161"/>
      <c r="N83" s="162"/>
      <c r="O83" s="115"/>
      <c r="P83" s="163"/>
      <c r="Q83" s="164"/>
      <c r="R83" s="164"/>
      <c r="S83" s="82"/>
      <c r="T83" s="927"/>
      <c r="U83" s="835"/>
      <c r="V83" s="835"/>
      <c r="W83" s="256"/>
      <c r="X83" s="835"/>
      <c r="Y83" s="835"/>
      <c r="Z83" s="982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</row>
    <row r="84" spans="1:250">
      <c r="A84" s="990"/>
      <c r="B84" s="130" t="s">
        <v>53</v>
      </c>
      <c r="C84" s="131"/>
      <c r="D84" s="131"/>
      <c r="E84" s="131"/>
      <c r="F84" s="131"/>
      <c r="G84" s="131"/>
      <c r="H84" s="131"/>
      <c r="I84" s="132"/>
      <c r="J84" s="132"/>
      <c r="K84" s="132"/>
      <c r="L84" s="161"/>
      <c r="M84" s="161"/>
      <c r="N84" s="162"/>
      <c r="O84" s="115"/>
      <c r="P84" s="163"/>
      <c r="Q84" s="164"/>
      <c r="R84" s="164"/>
      <c r="S84" s="82"/>
      <c r="T84" s="926"/>
      <c r="U84" s="784"/>
      <c r="V84" s="784"/>
      <c r="W84" s="86"/>
      <c r="X84" s="784"/>
      <c r="Y84" s="784"/>
      <c r="Z84" s="9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</row>
    <row r="85" spans="1:250">
      <c r="A85" s="980"/>
      <c r="B85" s="165" t="s">
        <v>54</v>
      </c>
      <c r="C85" s="167">
        <v>0</v>
      </c>
      <c r="D85" s="167">
        <v>0</v>
      </c>
      <c r="E85" s="167">
        <v>0</v>
      </c>
      <c r="F85" s="167">
        <v>0.5</v>
      </c>
      <c r="G85" s="167">
        <v>0</v>
      </c>
      <c r="H85" s="45">
        <f>SUM(C85:G85)</f>
        <v>0.5</v>
      </c>
      <c r="I85" s="168"/>
      <c r="J85" s="168"/>
      <c r="K85" s="168"/>
      <c r="L85" s="47">
        <f>((C85*$C$5)+(D85*$D$5)+(E85*$E$5)+(F85*$F$5)+(G85*$G$5))</f>
        <v>18.423999999999999</v>
      </c>
      <c r="M85" s="142">
        <v>0</v>
      </c>
      <c r="N85" s="138">
        <v>0</v>
      </c>
      <c r="O85" s="169">
        <f>O79</f>
        <v>64</v>
      </c>
      <c r="P85" s="50">
        <f>(C85+D85+E85+F85+G85)*O85</f>
        <v>32</v>
      </c>
      <c r="Q85" s="155">
        <f>M85*O85</f>
        <v>0</v>
      </c>
      <c r="R85" s="156">
        <f>N85*O85</f>
        <v>0</v>
      </c>
      <c r="S85" s="875">
        <f>(L85+M85+N85)*O85</f>
        <v>1179.136</v>
      </c>
      <c r="T85" s="928" t="s">
        <v>407</v>
      </c>
      <c r="U85" s="842" t="str">
        <f>IF($T85="RP",O85,"")</f>
        <v/>
      </c>
      <c r="V85" s="842" t="str">
        <f>IF($T85="RP",P85,"")</f>
        <v/>
      </c>
      <c r="W85" s="843" t="str">
        <f>IF($T85="RP",SUM(Q85:R85),"")</f>
        <v/>
      </c>
      <c r="X85" s="842">
        <f>IF($T85="RK",O85,"")</f>
        <v>64</v>
      </c>
      <c r="Y85" s="842">
        <f>IF($T85="RK",P85,"")</f>
        <v>32</v>
      </c>
      <c r="Z85" s="984">
        <f>IF($T85="Rk",SUM(Q85:R85),"")</f>
        <v>0</v>
      </c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</row>
    <row r="86" spans="1:250">
      <c r="A86" s="990"/>
      <c r="B86" s="130" t="s">
        <v>55</v>
      </c>
      <c r="C86" s="131"/>
      <c r="D86" s="131"/>
      <c r="E86" s="131"/>
      <c r="F86" s="131"/>
      <c r="G86" s="131"/>
      <c r="H86" s="131"/>
      <c r="I86" s="132"/>
      <c r="J86" s="132"/>
      <c r="K86" s="132"/>
      <c r="L86" s="161"/>
      <c r="M86" s="161"/>
      <c r="N86" s="162"/>
      <c r="O86" s="115"/>
      <c r="P86" s="163"/>
      <c r="Q86" s="164"/>
      <c r="R86" s="164"/>
      <c r="S86" s="82"/>
      <c r="T86" s="927"/>
      <c r="U86" s="835"/>
      <c r="V86" s="835"/>
      <c r="W86" s="256"/>
      <c r="X86" s="835"/>
      <c r="Y86" s="835"/>
      <c r="Z86" s="982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</row>
    <row r="87" spans="1:250">
      <c r="A87" s="980"/>
      <c r="B87" s="165" t="s">
        <v>56</v>
      </c>
      <c r="C87" s="167">
        <v>0</v>
      </c>
      <c r="D87" s="167">
        <v>0</v>
      </c>
      <c r="E87" s="167">
        <v>0</v>
      </c>
      <c r="F87" s="167">
        <v>0.5</v>
      </c>
      <c r="G87" s="167">
        <v>0</v>
      </c>
      <c r="H87" s="45">
        <f>SUM(C87:G87)</f>
        <v>0.5</v>
      </c>
      <c r="I87" s="168"/>
      <c r="J87" s="168"/>
      <c r="K87" s="168"/>
      <c r="L87" s="47">
        <f>((C87*$C$5)+(D87*$D$5)+(E87*$E$5)+(F87*$F$5)+(G87*$G$5))</f>
        <v>18.423999999999999</v>
      </c>
      <c r="M87" s="142">
        <v>0</v>
      </c>
      <c r="N87" s="138">
        <v>0</v>
      </c>
      <c r="O87" s="169">
        <f>O79</f>
        <v>64</v>
      </c>
      <c r="P87" s="50">
        <f>(C87+D87+E87+F87+G87)*O87</f>
        <v>32</v>
      </c>
      <c r="Q87" s="155">
        <f>M86*O86</f>
        <v>0</v>
      </c>
      <c r="R87" s="156">
        <f>N87*O87</f>
        <v>0</v>
      </c>
      <c r="S87" s="875">
        <f>(L87+M87+N87)*O87</f>
        <v>1179.136</v>
      </c>
      <c r="T87" s="928" t="s">
        <v>407</v>
      </c>
      <c r="U87" s="842" t="str">
        <f>IF($T87="RP",O87,"")</f>
        <v/>
      </c>
      <c r="V87" s="842" t="str">
        <f>IF($T87="RP",P87,"")</f>
        <v/>
      </c>
      <c r="W87" s="843" t="str">
        <f>IF($T87="RP",SUM(Q87:R87),"")</f>
        <v/>
      </c>
      <c r="X87" s="842">
        <f>IF($T87="RK",O87,"")</f>
        <v>64</v>
      </c>
      <c r="Y87" s="842">
        <f>IF($T87="RK",P87,"")</f>
        <v>32</v>
      </c>
      <c r="Z87" s="984">
        <f>IF($T87="Rk",SUM(Q87:R87),"")</f>
        <v>0</v>
      </c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</row>
    <row r="88" spans="1:250" ht="12" thickBot="1">
      <c r="A88" s="990"/>
      <c r="B88" s="130" t="s">
        <v>274</v>
      </c>
      <c r="C88" s="131">
        <v>1</v>
      </c>
      <c r="D88" s="131">
        <v>2</v>
      </c>
      <c r="E88" s="131">
        <v>10</v>
      </c>
      <c r="F88" s="131">
        <v>1</v>
      </c>
      <c r="G88" s="131">
        <v>1</v>
      </c>
      <c r="H88" s="45">
        <f>SUM(C88:G88)</f>
        <v>15</v>
      </c>
      <c r="I88" s="132"/>
      <c r="J88" s="132"/>
      <c r="K88" s="132"/>
      <c r="L88" s="47">
        <f>((C88*$C$5)+(D88*$D$5)+(E88*$E$5)+(F88*$F$5)+(G88*$G$5))</f>
        <v>1193.0940000000001</v>
      </c>
      <c r="M88" s="161">
        <v>0</v>
      </c>
      <c r="N88" s="162">
        <v>1</v>
      </c>
      <c r="O88" s="115">
        <f>0.1*P10</f>
        <v>6.4</v>
      </c>
      <c r="P88" s="50">
        <f>(C88+D88+E88+F88+G88)*O88</f>
        <v>96</v>
      </c>
      <c r="Q88" s="51">
        <f>M87*O87</f>
        <v>0</v>
      </c>
      <c r="R88" s="51">
        <f>N88*O88</f>
        <v>6.4</v>
      </c>
      <c r="S88" s="875">
        <f>(L88+M88+N88)*O88</f>
        <v>7642.2016000000003</v>
      </c>
      <c r="T88" s="926" t="s">
        <v>408</v>
      </c>
      <c r="U88" s="784">
        <f>IF($T88="RP",O88,"")</f>
        <v>6.4</v>
      </c>
      <c r="V88" s="784">
        <f>IF($T88="RP",P88,"")</f>
        <v>96</v>
      </c>
      <c r="W88" s="86">
        <f>IF($T88="RP",SUM(Q88:R88),"")</f>
        <v>6.4</v>
      </c>
      <c r="X88" s="784" t="str">
        <f>IF($T88="RK",O88,"")</f>
        <v/>
      </c>
      <c r="Y88" s="784" t="str">
        <f>IF($T88="RK",P88,"")</f>
        <v/>
      </c>
      <c r="Z88" s="973" t="str">
        <f>IF($T88="Rk",SUM(Q88:R88),"")</f>
        <v/>
      </c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</row>
    <row r="89" spans="1:250" ht="12.75" thickTop="1" thickBot="1">
      <c r="A89" s="987" t="s">
        <v>29</v>
      </c>
      <c r="B89" s="172"/>
      <c r="C89" s="173">
        <f t="shared" ref="C89:H89" si="22">SUM(C79:C87)</f>
        <v>0</v>
      </c>
      <c r="D89" s="173">
        <f t="shared" si="22"/>
        <v>7</v>
      </c>
      <c r="E89" s="173">
        <f t="shared" si="22"/>
        <v>55</v>
      </c>
      <c r="F89" s="173">
        <f t="shared" si="22"/>
        <v>11.5</v>
      </c>
      <c r="G89" s="173">
        <f t="shared" si="22"/>
        <v>37</v>
      </c>
      <c r="H89" s="173">
        <f t="shared" si="22"/>
        <v>110.5</v>
      </c>
      <c r="I89" s="174">
        <f>SUM(I85:I85)</f>
        <v>0</v>
      </c>
      <c r="J89" s="174">
        <f>SUM(J85:J85)</f>
        <v>0</v>
      </c>
      <c r="K89" s="174">
        <f>SUM(K85:K85)</f>
        <v>0</v>
      </c>
      <c r="L89" s="72">
        <f>SUM(L79:L87)</f>
        <v>8799.3500000000022</v>
      </c>
      <c r="M89" s="72">
        <f>SUM(M79:M87)</f>
        <v>0</v>
      </c>
      <c r="N89" s="91">
        <f>SUM(N79:N87)</f>
        <v>0</v>
      </c>
      <c r="O89" s="175"/>
      <c r="P89" s="176">
        <f>SUM(P79:P88)</f>
        <v>7168</v>
      </c>
      <c r="Q89" s="72">
        <f>SUM(Q79:Q88)</f>
        <v>0</v>
      </c>
      <c r="R89" s="72">
        <f>SUM(R79:R88)</f>
        <v>6.4</v>
      </c>
      <c r="S89" s="68">
        <f>SUM(S79:S88)</f>
        <v>570800.60160000017</v>
      </c>
      <c r="T89" s="77">
        <f t="shared" ref="T89:Z89" si="23">SUM(T79:T88)</f>
        <v>0</v>
      </c>
      <c r="U89" s="850">
        <f t="shared" si="23"/>
        <v>134.4</v>
      </c>
      <c r="V89" s="850">
        <f t="shared" si="23"/>
        <v>960</v>
      </c>
      <c r="W89" s="72">
        <f t="shared" si="23"/>
        <v>6.4</v>
      </c>
      <c r="X89" s="850">
        <f t="shared" si="23"/>
        <v>192</v>
      </c>
      <c r="Y89" s="850">
        <f t="shared" si="23"/>
        <v>6208</v>
      </c>
      <c r="Z89" s="988">
        <f t="shared" si="23"/>
        <v>0</v>
      </c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  <c r="FV89" s="73"/>
      <c r="FW89" s="73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3"/>
      <c r="GI89" s="73"/>
      <c r="GJ89" s="73"/>
      <c r="GK89" s="73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3"/>
      <c r="GW89" s="73"/>
      <c r="GX89" s="73"/>
      <c r="GY89" s="73"/>
      <c r="GZ89" s="73"/>
      <c r="HA89" s="73"/>
      <c r="HB89" s="73"/>
      <c r="HC89" s="73"/>
      <c r="HD89" s="73"/>
      <c r="HE89" s="73"/>
      <c r="HF89" s="73"/>
      <c r="HG89" s="73"/>
      <c r="HH89" s="73"/>
      <c r="HI89" s="73"/>
      <c r="HJ89" s="73"/>
      <c r="HK89" s="73"/>
      <c r="HL89" s="73"/>
      <c r="HM89" s="73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3"/>
      <c r="HY89" s="73"/>
      <c r="HZ89" s="73"/>
      <c r="IA89" s="73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3"/>
      <c r="IM89" s="73"/>
      <c r="IN89" s="73"/>
      <c r="IO89" s="73"/>
      <c r="IP89" s="73"/>
    </row>
    <row r="90" spans="1:250" ht="12" thickTop="1">
      <c r="A90" s="993" t="s">
        <v>152</v>
      </c>
      <c r="B90" s="194"/>
      <c r="C90" s="195"/>
      <c r="D90" s="195"/>
      <c r="E90" s="195"/>
      <c r="F90" s="195"/>
      <c r="G90" s="195"/>
      <c r="H90" s="195"/>
      <c r="I90" s="196"/>
      <c r="J90" s="196"/>
      <c r="K90" s="196"/>
      <c r="L90" s="197"/>
      <c r="M90" s="197"/>
      <c r="N90" s="198"/>
      <c r="O90" s="199"/>
      <c r="P90" s="200"/>
      <c r="Q90" s="201"/>
      <c r="R90" s="201"/>
      <c r="S90" s="202"/>
      <c r="T90" s="85"/>
      <c r="U90" s="784"/>
      <c r="V90" s="784"/>
      <c r="W90" s="86"/>
      <c r="X90" s="784"/>
      <c r="Y90" s="784"/>
      <c r="Z90" s="973"/>
      <c r="AF90" s="10"/>
      <c r="AG90" s="10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</row>
    <row r="91" spans="1:250">
      <c r="A91" s="994"/>
      <c r="B91" s="144" t="s">
        <v>57</v>
      </c>
      <c r="C91" s="111"/>
      <c r="D91" s="111"/>
      <c r="E91" s="111"/>
      <c r="F91" s="111"/>
      <c r="G91" s="111"/>
      <c r="H91" s="111"/>
      <c r="I91" s="112"/>
      <c r="J91" s="112"/>
      <c r="K91" s="112"/>
      <c r="L91" s="105"/>
      <c r="M91" s="105"/>
      <c r="N91" s="106"/>
      <c r="O91" s="203"/>
      <c r="P91" s="204"/>
      <c r="Q91" s="205"/>
      <c r="R91" s="205"/>
      <c r="S91" s="206"/>
      <c r="T91" s="844"/>
      <c r="U91" s="835"/>
      <c r="V91" s="835"/>
      <c r="W91" s="256"/>
      <c r="X91" s="835"/>
      <c r="Y91" s="835"/>
      <c r="Z91" s="982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</row>
    <row r="92" spans="1:250">
      <c r="A92" s="990"/>
      <c r="B92" s="144" t="s">
        <v>322</v>
      </c>
      <c r="C92" s="111"/>
      <c r="D92" s="111"/>
      <c r="E92" s="111"/>
      <c r="F92" s="111"/>
      <c r="G92" s="111"/>
      <c r="H92" s="111"/>
      <c r="I92" s="112"/>
      <c r="J92" s="112"/>
      <c r="K92" s="112"/>
      <c r="L92" s="113"/>
      <c r="M92" s="113"/>
      <c r="N92" s="114"/>
      <c r="O92" s="207"/>
      <c r="P92" s="182"/>
      <c r="Q92" s="51"/>
      <c r="R92" s="51"/>
      <c r="S92" s="183"/>
      <c r="T92" s="845"/>
      <c r="U92" s="784"/>
      <c r="V92" s="784"/>
      <c r="W92" s="86"/>
      <c r="X92" s="784"/>
      <c r="Y92" s="784"/>
      <c r="Z92" s="9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</row>
    <row r="93" spans="1:250">
      <c r="A93" s="990"/>
      <c r="B93" s="144" t="s">
        <v>177</v>
      </c>
      <c r="C93" s="111"/>
      <c r="D93" s="111"/>
      <c r="E93" s="111"/>
      <c r="F93" s="111"/>
      <c r="G93" s="111"/>
      <c r="H93" s="111"/>
      <c r="I93" s="112"/>
      <c r="J93" s="112"/>
      <c r="K93" s="112"/>
      <c r="L93" s="113"/>
      <c r="M93" s="113"/>
      <c r="N93" s="114"/>
      <c r="O93" s="207"/>
      <c r="P93" s="182"/>
      <c r="Q93" s="51"/>
      <c r="R93" s="51"/>
      <c r="S93" s="183"/>
      <c r="T93" s="845"/>
      <c r="U93" s="784"/>
      <c r="V93" s="784"/>
      <c r="W93" s="86"/>
      <c r="X93" s="784"/>
      <c r="Y93" s="784"/>
      <c r="Z93" s="9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3"/>
    </row>
    <row r="94" spans="1:250">
      <c r="A94" s="970"/>
      <c r="B94" s="208" t="s">
        <v>28</v>
      </c>
      <c r="C94" s="45">
        <v>0</v>
      </c>
      <c r="D94" s="45">
        <v>2</v>
      </c>
      <c r="E94" s="45">
        <v>16</v>
      </c>
      <c r="F94" s="45">
        <v>0.5</v>
      </c>
      <c r="G94" s="45">
        <v>0</v>
      </c>
      <c r="H94" s="45">
        <f>SUM(C94:G94)</f>
        <v>18.5</v>
      </c>
      <c r="I94" s="46"/>
      <c r="J94" s="46"/>
      <c r="K94" s="46"/>
      <c r="L94" s="47">
        <f>((C94*$C$5)+(D94*$D$5)+(E94*$E$5)+(F94*$F$5)+(G94*$G$5))</f>
        <v>1422.5679999999998</v>
      </c>
      <c r="M94" s="47">
        <v>0</v>
      </c>
      <c r="N94" s="119">
        <v>0</v>
      </c>
      <c r="O94" s="49">
        <f>P10*2</f>
        <v>128</v>
      </c>
      <c r="P94" s="50">
        <f>(C94+D94+E94+F94+G94)*O94</f>
        <v>2368</v>
      </c>
      <c r="Q94" s="155">
        <f>M94*O94</f>
        <v>0</v>
      </c>
      <c r="R94" s="156">
        <f>N94*O94</f>
        <v>0</v>
      </c>
      <c r="S94" s="52">
        <f>(L94+M94+N94)*O94</f>
        <v>182088.70399999997</v>
      </c>
      <c r="T94" s="841" t="s">
        <v>407</v>
      </c>
      <c r="U94" s="842" t="str">
        <f>IF($T94="RP",O94,"")</f>
        <v/>
      </c>
      <c r="V94" s="842" t="str">
        <f>IF($T94="RP",P94,"")</f>
        <v/>
      </c>
      <c r="W94" s="843" t="str">
        <f>IF($T94="RP",SUM(Q94:R94),"")</f>
        <v/>
      </c>
      <c r="X94" s="842">
        <f>IF($T94="RK",O94,"")</f>
        <v>128</v>
      </c>
      <c r="Y94" s="842">
        <f>IF($T94="RK",P94,"")</f>
        <v>2368</v>
      </c>
      <c r="Z94" s="984">
        <f>IF($T94="Rk",SUM(Q94:R94),"")</f>
        <v>0</v>
      </c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</row>
    <row r="95" spans="1:250">
      <c r="A95" s="972"/>
      <c r="B95" s="144" t="s">
        <v>58</v>
      </c>
      <c r="C95" s="111"/>
      <c r="D95" s="111"/>
      <c r="E95" s="111"/>
      <c r="F95" s="111"/>
      <c r="G95" s="111"/>
      <c r="H95" s="111"/>
      <c r="I95" s="112"/>
      <c r="J95" s="112"/>
      <c r="K95" s="112"/>
      <c r="L95" s="113"/>
      <c r="M95" s="113"/>
      <c r="N95" s="114"/>
      <c r="O95" s="207"/>
      <c r="P95" s="182"/>
      <c r="Q95" s="51"/>
      <c r="R95" s="51"/>
      <c r="S95" s="183"/>
      <c r="T95" s="844"/>
      <c r="U95" s="835"/>
      <c r="V95" s="835"/>
      <c r="W95" s="256"/>
      <c r="X95" s="835"/>
      <c r="Y95" s="835"/>
      <c r="Z95" s="982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3"/>
    </row>
    <row r="96" spans="1:250">
      <c r="A96" s="990"/>
      <c r="B96" s="144" t="s">
        <v>59</v>
      </c>
      <c r="C96" s="111"/>
      <c r="D96" s="111"/>
      <c r="E96" s="111"/>
      <c r="F96" s="111"/>
      <c r="G96" s="111"/>
      <c r="H96" s="111"/>
      <c r="I96" s="112"/>
      <c r="J96" s="112"/>
      <c r="K96" s="112"/>
      <c r="L96" s="113"/>
      <c r="M96" s="113"/>
      <c r="N96" s="114"/>
      <c r="O96" s="207"/>
      <c r="P96" s="182"/>
      <c r="Q96" s="51"/>
      <c r="R96" s="51"/>
      <c r="S96" s="183"/>
      <c r="T96" s="845"/>
      <c r="U96" s="784"/>
      <c r="V96" s="784"/>
      <c r="W96" s="86"/>
      <c r="X96" s="784"/>
      <c r="Y96" s="784"/>
      <c r="Z96" s="9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3"/>
    </row>
    <row r="97" spans="1:256" s="73" customFormat="1">
      <c r="A97" s="980"/>
      <c r="B97" s="154" t="s">
        <v>60</v>
      </c>
      <c r="C97" s="45">
        <v>0</v>
      </c>
      <c r="D97" s="45">
        <v>2</v>
      </c>
      <c r="E97" s="45">
        <v>16</v>
      </c>
      <c r="F97" s="45">
        <v>0.5</v>
      </c>
      <c r="G97" s="45">
        <v>0</v>
      </c>
      <c r="H97" s="45">
        <f>SUM(C97:G97)</f>
        <v>18.5</v>
      </c>
      <c r="I97" s="46"/>
      <c r="J97" s="46"/>
      <c r="K97" s="46"/>
      <c r="L97" s="47">
        <f>((C97*$C$5)+(D97*$D$5)+(E97*$E$5)+(F97*$F$5)+(G97*$G$5))</f>
        <v>1422.5679999999998</v>
      </c>
      <c r="M97" s="47">
        <v>0</v>
      </c>
      <c r="N97" s="119">
        <v>8</v>
      </c>
      <c r="O97" s="49">
        <f>0.1*P10</f>
        <v>6.4</v>
      </c>
      <c r="P97" s="50">
        <f>(C97+D97+E97+F97+G97)*O97</f>
        <v>118.4</v>
      </c>
      <c r="Q97" s="155">
        <f>M97*O97</f>
        <v>0</v>
      </c>
      <c r="R97" s="156">
        <f>N97*O97</f>
        <v>51.2</v>
      </c>
      <c r="S97" s="52">
        <f>(L97+M97+N97)*O97</f>
        <v>9155.6351999999988</v>
      </c>
      <c r="T97" s="841" t="s">
        <v>407</v>
      </c>
      <c r="U97" s="842" t="str">
        <f>IF($T97="RP",O97,"")</f>
        <v/>
      </c>
      <c r="V97" s="842" t="str">
        <f>IF($T97="RP",P97,"")</f>
        <v/>
      </c>
      <c r="W97" s="843" t="str">
        <f>IF($T97="RP",SUM(Q97:R97),"")</f>
        <v/>
      </c>
      <c r="X97" s="842">
        <f>IF($T97="RK",O97,"")</f>
        <v>6.4</v>
      </c>
      <c r="Y97" s="842">
        <f>IF($T97="RK",P97,"")</f>
        <v>118.4</v>
      </c>
      <c r="Z97" s="984">
        <f>IF($T97="Rk",SUM(Q97:R97),"")</f>
        <v>51.2</v>
      </c>
      <c r="AA97" s="1"/>
      <c r="AB97" s="1"/>
      <c r="AC97" s="1"/>
      <c r="AD97" s="1"/>
      <c r="AE97" s="1"/>
      <c r="IQ97" s="86"/>
      <c r="IR97" s="86"/>
      <c r="IS97" s="86"/>
      <c r="IT97" s="86"/>
      <c r="IU97" s="86"/>
      <c r="IV97" s="86"/>
    </row>
    <row r="98" spans="1:256">
      <c r="A98" s="972"/>
      <c r="B98" s="144" t="s">
        <v>61</v>
      </c>
      <c r="C98" s="111"/>
      <c r="D98" s="111"/>
      <c r="E98" s="111"/>
      <c r="F98" s="111"/>
      <c r="G98" s="111"/>
      <c r="H98" s="111"/>
      <c r="I98" s="112"/>
      <c r="J98" s="112"/>
      <c r="K98" s="112"/>
      <c r="L98" s="113"/>
      <c r="M98" s="113"/>
      <c r="N98" s="114"/>
      <c r="O98" s="207"/>
      <c r="P98" s="182"/>
      <c r="Q98" s="51"/>
      <c r="R98" s="51"/>
      <c r="S98" s="183"/>
      <c r="T98" s="844"/>
      <c r="U98" s="835"/>
      <c r="V98" s="835"/>
      <c r="W98" s="229"/>
      <c r="X98" s="854"/>
      <c r="Y98" s="835"/>
      <c r="Z98" s="982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</row>
    <row r="99" spans="1:256">
      <c r="A99" s="990"/>
      <c r="B99" s="144" t="s">
        <v>62</v>
      </c>
      <c r="C99" s="111"/>
      <c r="D99" s="111"/>
      <c r="E99" s="111"/>
      <c r="F99" s="111"/>
      <c r="G99" s="111"/>
      <c r="H99" s="111"/>
      <c r="I99" s="112"/>
      <c r="J99" s="112"/>
      <c r="K99" s="112"/>
      <c r="L99" s="113"/>
      <c r="M99" s="113"/>
      <c r="N99" s="114"/>
      <c r="O99" s="207"/>
      <c r="P99" s="182"/>
      <c r="Q99" s="51"/>
      <c r="R99" s="51"/>
      <c r="S99" s="183"/>
      <c r="T99" s="845"/>
      <c r="U99" s="784"/>
      <c r="V99" s="784"/>
      <c r="W99" s="73"/>
      <c r="X99" s="855"/>
      <c r="Y99" s="784"/>
      <c r="Z99" s="9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3"/>
    </row>
    <row r="100" spans="1:256" s="73" customFormat="1">
      <c r="A100" s="970"/>
      <c r="B100" s="208" t="s">
        <v>63</v>
      </c>
      <c r="C100" s="45">
        <v>0</v>
      </c>
      <c r="D100" s="45">
        <v>0</v>
      </c>
      <c r="E100" s="45">
        <v>1.5</v>
      </c>
      <c r="F100" s="45">
        <v>0</v>
      </c>
      <c r="G100" s="45">
        <v>0</v>
      </c>
      <c r="H100" s="45">
        <f>SUM(C100:G100)</f>
        <v>1.5</v>
      </c>
      <c r="I100" s="46">
        <f>D100*$O100</f>
        <v>0</v>
      </c>
      <c r="J100" s="46">
        <f>E100*$O100</f>
        <v>48</v>
      </c>
      <c r="K100" s="46">
        <f>F100*$O100</f>
        <v>0</v>
      </c>
      <c r="L100" s="47">
        <f>((C100*$C$5)+(D100*$D$5)+(E100*$E$5)+(F100*$F$5)+(G100*$G$5))</f>
        <v>113.71499999999997</v>
      </c>
      <c r="M100" s="47">
        <v>0</v>
      </c>
      <c r="N100" s="119">
        <v>0</v>
      </c>
      <c r="O100" s="49">
        <f>0.5*P10</f>
        <v>32</v>
      </c>
      <c r="P100" s="50">
        <f>(C100+D100+E100+F100+G100)*O100</f>
        <v>48</v>
      </c>
      <c r="Q100" s="155">
        <f>M100*O100</f>
        <v>0</v>
      </c>
      <c r="R100" s="156">
        <f>N100*O100</f>
        <v>0</v>
      </c>
      <c r="S100" s="52">
        <f>(L100+M100+N100)*O100</f>
        <v>3638.8799999999992</v>
      </c>
      <c r="T100" s="841" t="s">
        <v>407</v>
      </c>
      <c r="U100" s="842" t="str">
        <f>IF($T100="RP",O100,"")</f>
        <v/>
      </c>
      <c r="V100" s="842" t="str">
        <f>IF($T100="RP",P100,"")</f>
        <v/>
      </c>
      <c r="W100" s="843" t="str">
        <f>IF($T100="RP",SUM(Q100:R100),"")</f>
        <v/>
      </c>
      <c r="X100" s="842">
        <f>IF($T100="RK",O100,"")</f>
        <v>32</v>
      </c>
      <c r="Y100" s="842">
        <f>IF($T100="RK",P100,"")</f>
        <v>48</v>
      </c>
      <c r="Z100" s="984">
        <f>IF($T100="Rk",SUM(Q100:R100),"")</f>
        <v>0</v>
      </c>
      <c r="AA100" s="1"/>
      <c r="AB100" s="1"/>
      <c r="AC100" s="1"/>
      <c r="AD100" s="1"/>
      <c r="AE100" s="1"/>
      <c r="IQ100" s="86"/>
      <c r="IR100" s="86"/>
      <c r="IS100" s="86"/>
      <c r="IT100" s="86"/>
      <c r="IU100" s="86"/>
      <c r="IV100" s="86"/>
    </row>
    <row r="101" spans="1:256" s="73" customFormat="1">
      <c r="A101" s="990"/>
      <c r="B101" s="144" t="s">
        <v>64</v>
      </c>
      <c r="C101" s="111"/>
      <c r="D101" s="111"/>
      <c r="E101" s="111"/>
      <c r="F101" s="111"/>
      <c r="G101" s="111"/>
      <c r="H101" s="111"/>
      <c r="I101" s="112"/>
      <c r="J101" s="112"/>
      <c r="K101" s="112"/>
      <c r="L101" s="113"/>
      <c r="M101" s="113"/>
      <c r="N101" s="114"/>
      <c r="O101" s="207"/>
      <c r="P101" s="182"/>
      <c r="Q101" s="51"/>
      <c r="R101" s="51"/>
      <c r="S101" s="183"/>
      <c r="T101" s="844"/>
      <c r="U101" s="835"/>
      <c r="V101" s="835"/>
      <c r="W101" s="229"/>
      <c r="X101" s="854"/>
      <c r="Y101" s="835"/>
      <c r="Z101" s="982"/>
      <c r="AA101" s="1"/>
      <c r="AB101" s="1"/>
      <c r="AC101" s="1"/>
      <c r="AD101" s="1"/>
      <c r="AE101" s="1"/>
      <c r="IQ101" s="86"/>
      <c r="IR101" s="86"/>
      <c r="IS101" s="86"/>
      <c r="IT101" s="86"/>
      <c r="IU101" s="86"/>
      <c r="IV101" s="86"/>
    </row>
    <row r="102" spans="1:256" s="73" customFormat="1">
      <c r="A102" s="972"/>
      <c r="B102" s="144" t="s">
        <v>65</v>
      </c>
      <c r="C102" s="45">
        <v>0</v>
      </c>
      <c r="D102" s="45">
        <v>0</v>
      </c>
      <c r="E102" s="45">
        <v>0.5</v>
      </c>
      <c r="F102" s="45">
        <v>0</v>
      </c>
      <c r="G102" s="45">
        <v>0</v>
      </c>
      <c r="H102" s="45">
        <f>SUM(C102:G102)</f>
        <v>0.5</v>
      </c>
      <c r="I102" s="46">
        <f>D102*$O102</f>
        <v>0</v>
      </c>
      <c r="J102" s="46">
        <f>E102*$O102</f>
        <v>16</v>
      </c>
      <c r="K102" s="46">
        <f>F102*$O102</f>
        <v>0</v>
      </c>
      <c r="L102" s="47">
        <f>((C102*$C$5)+(D102*$D$5)+(E102*$E$5)+(F102*$F$5)+(G102*$G$5))</f>
        <v>37.904999999999994</v>
      </c>
      <c r="M102" s="47">
        <v>0</v>
      </c>
      <c r="N102" s="119">
        <v>0</v>
      </c>
      <c r="O102" s="49">
        <f>0.5*P10</f>
        <v>32</v>
      </c>
      <c r="P102" s="50">
        <f>(C102+D102+E102+F102+G102)*O102</f>
        <v>16</v>
      </c>
      <c r="Q102" s="155">
        <f>M102*O102</f>
        <v>0</v>
      </c>
      <c r="R102" s="156">
        <f>N102*O102</f>
        <v>0</v>
      </c>
      <c r="S102" s="52">
        <f>(L102+M102+N102)*O102</f>
        <v>1212.9599999999998</v>
      </c>
      <c r="T102" s="841" t="s">
        <v>407</v>
      </c>
      <c r="U102" s="842" t="str">
        <f>IF($T102="RP",O102,"")</f>
        <v/>
      </c>
      <c r="V102" s="842" t="str">
        <f>IF($T102="RP",P102,"")</f>
        <v/>
      </c>
      <c r="W102" s="843" t="str">
        <f>IF($T102="RP",SUM(Q102:R102),"")</f>
        <v/>
      </c>
      <c r="X102" s="842">
        <f>IF($T102="RK",O102,"")</f>
        <v>32</v>
      </c>
      <c r="Y102" s="842">
        <f>IF($T102="RK",P102,"")</f>
        <v>16</v>
      </c>
      <c r="Z102" s="984">
        <f>IF($T102="Rk",SUM(Q102:R102),"")</f>
        <v>0</v>
      </c>
      <c r="AA102" s="1"/>
      <c r="AB102" s="1"/>
      <c r="AC102" s="1"/>
      <c r="AD102" s="1"/>
      <c r="AE102" s="1"/>
      <c r="IQ102" s="86"/>
      <c r="IR102" s="86"/>
      <c r="IS102" s="86"/>
      <c r="IT102" s="86"/>
      <c r="IU102" s="86"/>
      <c r="IV102" s="86"/>
    </row>
    <row r="103" spans="1:256" s="73" customFormat="1">
      <c r="A103" s="994"/>
      <c r="B103" s="209" t="s">
        <v>175</v>
      </c>
      <c r="C103" s="111"/>
      <c r="D103" s="111"/>
      <c r="E103" s="111"/>
      <c r="F103" s="111"/>
      <c r="G103" s="111"/>
      <c r="H103" s="111"/>
      <c r="I103" s="112"/>
      <c r="J103" s="112"/>
      <c r="K103" s="112"/>
      <c r="L103" s="113"/>
      <c r="M103" s="113"/>
      <c r="N103" s="114"/>
      <c r="O103" s="207"/>
      <c r="P103" s="182"/>
      <c r="Q103" s="51"/>
      <c r="R103" s="51"/>
      <c r="S103" s="183"/>
      <c r="T103" s="844"/>
      <c r="U103" s="835"/>
      <c r="V103" s="835"/>
      <c r="W103" s="229"/>
      <c r="X103" s="854"/>
      <c r="Y103" s="835"/>
      <c r="Z103" s="982"/>
      <c r="AA103" s="1"/>
      <c r="AB103" s="1"/>
      <c r="AC103" s="1"/>
      <c r="AD103" s="1"/>
      <c r="AE103" s="1"/>
      <c r="IQ103" s="86"/>
      <c r="IR103" s="86"/>
      <c r="IS103" s="86"/>
      <c r="IT103" s="86"/>
      <c r="IU103" s="86"/>
      <c r="IV103" s="86"/>
    </row>
    <row r="104" spans="1:256" s="73" customFormat="1">
      <c r="A104" s="972"/>
      <c r="B104" s="144" t="s">
        <v>66</v>
      </c>
      <c r="C104" s="111">
        <v>0</v>
      </c>
      <c r="D104" s="111">
        <v>0</v>
      </c>
      <c r="E104" s="111">
        <v>1.5</v>
      </c>
      <c r="F104" s="111">
        <v>0</v>
      </c>
      <c r="G104" s="111">
        <v>0</v>
      </c>
      <c r="H104" s="45">
        <f>SUM(C104:G104)</f>
        <v>1.5</v>
      </c>
      <c r="I104" s="112"/>
      <c r="J104" s="112"/>
      <c r="K104" s="112"/>
      <c r="L104" s="47">
        <f>((C104*$C$5)+(D104*$D$5)+(E104*$E$5)+(F104*$F$5)+(G104*$G$5))</f>
        <v>113.71499999999997</v>
      </c>
      <c r="M104" s="113">
        <v>0</v>
      </c>
      <c r="N104" s="114">
        <v>0</v>
      </c>
      <c r="O104" s="207">
        <f>0.5*P10</f>
        <v>32</v>
      </c>
      <c r="P104" s="50">
        <f>(C104+D104+E104+F104+G104)*O104</f>
        <v>48</v>
      </c>
      <c r="Q104" s="51">
        <f>M104*O104</f>
        <v>0</v>
      </c>
      <c r="R104" s="51">
        <f>N104*O104</f>
        <v>0</v>
      </c>
      <c r="S104" s="52">
        <f>(L104+M104+N104)*O104</f>
        <v>3638.8799999999992</v>
      </c>
      <c r="T104" s="841" t="s">
        <v>407</v>
      </c>
      <c r="U104" s="842" t="str">
        <f>IF($T104="RP",O104,"")</f>
        <v/>
      </c>
      <c r="V104" s="842" t="str">
        <f>IF($T104="RP",P104,"")</f>
        <v/>
      </c>
      <c r="W104" s="843" t="str">
        <f>IF($T104="RP",SUM(Q104:R104),"")</f>
        <v/>
      </c>
      <c r="X104" s="842">
        <f>IF($T104="RK",O104,"")</f>
        <v>32</v>
      </c>
      <c r="Y104" s="842">
        <f>IF($T104="RK",P104,"")</f>
        <v>48</v>
      </c>
      <c r="Z104" s="984">
        <f>IF($T104="Rk",SUM(Q104:R104),"")</f>
        <v>0</v>
      </c>
      <c r="AA104" s="1"/>
      <c r="AB104" s="1"/>
      <c r="AC104" s="1"/>
      <c r="AD104" s="1"/>
      <c r="AE104" s="1"/>
      <c r="IQ104" s="86"/>
      <c r="IR104" s="86"/>
      <c r="IS104" s="86"/>
      <c r="IT104" s="86"/>
      <c r="IU104" s="86"/>
      <c r="IV104" s="86"/>
    </row>
    <row r="105" spans="1:256" s="73" customFormat="1">
      <c r="A105" s="994"/>
      <c r="B105" s="209" t="s">
        <v>270</v>
      </c>
      <c r="C105" s="103"/>
      <c r="D105" s="103"/>
      <c r="E105" s="103"/>
      <c r="F105" s="103"/>
      <c r="G105" s="103"/>
      <c r="H105" s="103"/>
      <c r="I105" s="104"/>
      <c r="J105" s="104"/>
      <c r="K105" s="104"/>
      <c r="L105" s="105"/>
      <c r="M105" s="105"/>
      <c r="N105" s="106"/>
      <c r="O105" s="203"/>
      <c r="P105" s="204"/>
      <c r="Q105" s="205"/>
      <c r="R105" s="205"/>
      <c r="S105" s="206"/>
      <c r="T105" s="85"/>
      <c r="U105" s="784"/>
      <c r="V105" s="784"/>
      <c r="X105" s="855"/>
      <c r="Y105" s="784"/>
      <c r="Z105" s="973"/>
      <c r="AA105" s="1"/>
      <c r="AB105" s="1"/>
      <c r="AC105" s="1"/>
      <c r="AD105" s="1"/>
      <c r="AE105" s="1"/>
      <c r="IQ105" s="86"/>
      <c r="IR105" s="86"/>
      <c r="IS105" s="86"/>
      <c r="IT105" s="86"/>
      <c r="IU105" s="86"/>
      <c r="IV105" s="86"/>
    </row>
    <row r="106" spans="1:256" s="73" customFormat="1" ht="12" thickBot="1">
      <c r="A106" s="980"/>
      <c r="B106" s="210" t="s">
        <v>271</v>
      </c>
      <c r="C106" s="45">
        <v>0</v>
      </c>
      <c r="D106" s="45">
        <v>0.5</v>
      </c>
      <c r="E106" s="45">
        <v>6</v>
      </c>
      <c r="F106" s="45">
        <v>1</v>
      </c>
      <c r="G106" s="45">
        <v>0</v>
      </c>
      <c r="H106" s="45">
        <f>SUM(C106:G106)</f>
        <v>7.5</v>
      </c>
      <c r="I106" s="46">
        <f>D106*$O106</f>
        <v>64</v>
      </c>
      <c r="J106" s="46">
        <f>E106*$O106</f>
        <v>768</v>
      </c>
      <c r="K106" s="46">
        <f>F106*$O106</f>
        <v>128</v>
      </c>
      <c r="L106" s="47">
        <f>((C106*$C$5)+(D106*$D$5)+(E106*$E$5)+(F106*$F$5)+(G106*$G$5))</f>
        <v>539.50399999999991</v>
      </c>
      <c r="M106" s="47">
        <v>0</v>
      </c>
      <c r="N106" s="119">
        <v>0</v>
      </c>
      <c r="O106" s="49">
        <f>O94</f>
        <v>128</v>
      </c>
      <c r="P106" s="50">
        <f>(C106+D106+E106+F106+G106)*O106</f>
        <v>960</v>
      </c>
      <c r="Q106" s="51">
        <f>M106*O106</f>
        <v>0</v>
      </c>
      <c r="R106" s="51">
        <f>N106*O106</f>
        <v>0</v>
      </c>
      <c r="S106" s="52">
        <f>(L106+M106+N106)*O106</f>
        <v>69056.511999999988</v>
      </c>
      <c r="T106" s="841" t="s">
        <v>407</v>
      </c>
      <c r="U106" s="842" t="str">
        <f>IF($T106="RP",O106,"")</f>
        <v/>
      </c>
      <c r="V106" s="842" t="str">
        <f>IF($T106="RP",P106,"")</f>
        <v/>
      </c>
      <c r="W106" s="843" t="str">
        <f>IF($T106="RP",SUM(Q106:R106),"")</f>
        <v/>
      </c>
      <c r="X106" s="842">
        <f>IF($T106="RK",O106,"")</f>
        <v>128</v>
      </c>
      <c r="Y106" s="842">
        <f>IF($T106="RK",P106,"")</f>
        <v>960</v>
      </c>
      <c r="Z106" s="984">
        <f>IF($T106="Rk",SUM(Q106:R106),"")</f>
        <v>0</v>
      </c>
      <c r="AA106" s="1"/>
      <c r="AB106" s="1"/>
      <c r="AC106" s="1"/>
      <c r="AD106" s="1"/>
      <c r="AE106" s="1"/>
      <c r="IQ106" s="86"/>
      <c r="IR106" s="86"/>
      <c r="IS106" s="86"/>
      <c r="IT106" s="86"/>
      <c r="IU106" s="86"/>
      <c r="IV106" s="86"/>
    </row>
    <row r="107" spans="1:256" ht="12.75" thickTop="1" thickBot="1">
      <c r="A107" s="987" t="s">
        <v>29</v>
      </c>
      <c r="B107" s="172"/>
      <c r="C107" s="173">
        <f t="shared" ref="C107:H107" si="24">SUM(C94:C106)</f>
        <v>0</v>
      </c>
      <c r="D107" s="173">
        <f t="shared" si="24"/>
        <v>4.5</v>
      </c>
      <c r="E107" s="173">
        <f t="shared" si="24"/>
        <v>41.5</v>
      </c>
      <c r="F107" s="173">
        <f t="shared" si="24"/>
        <v>2</v>
      </c>
      <c r="G107" s="173">
        <f t="shared" si="24"/>
        <v>0</v>
      </c>
      <c r="H107" s="173">
        <f t="shared" si="24"/>
        <v>48</v>
      </c>
      <c r="I107" s="174">
        <f>SUM(I104:I104)</f>
        <v>0</v>
      </c>
      <c r="J107" s="174">
        <f>SUM(J104:J104)</f>
        <v>0</v>
      </c>
      <c r="K107" s="174">
        <f>SUM(K104:K104)</f>
        <v>0</v>
      </c>
      <c r="L107" s="72">
        <f>SUM(L94:L106)</f>
        <v>3649.9749999999999</v>
      </c>
      <c r="M107" s="72">
        <f>SUM(M94:M106)</f>
        <v>0</v>
      </c>
      <c r="N107" s="91">
        <f>SUM(N94:N106)</f>
        <v>8</v>
      </c>
      <c r="O107" s="175"/>
      <c r="P107" s="176">
        <f>SUM(P94:P106)</f>
        <v>3558.4</v>
      </c>
      <c r="Q107" s="72">
        <f>SUM(Q94:Q106)</f>
        <v>0</v>
      </c>
      <c r="R107" s="72">
        <f>SUM(R94:R106)</f>
        <v>51.2</v>
      </c>
      <c r="S107" s="72">
        <f>SUM(S94:S106)</f>
        <v>268791.57119999995</v>
      </c>
      <c r="T107" s="72">
        <f t="shared" ref="T107:Z107" si="25">SUM(T94:T106)</f>
        <v>0</v>
      </c>
      <c r="U107" s="850">
        <f>SUM(U94:U106)</f>
        <v>0</v>
      </c>
      <c r="V107" s="850">
        <f t="shared" si="25"/>
        <v>0</v>
      </c>
      <c r="W107" s="72">
        <f t="shared" si="25"/>
        <v>0</v>
      </c>
      <c r="X107" s="850">
        <f t="shared" si="25"/>
        <v>358.4</v>
      </c>
      <c r="Y107" s="850">
        <f t="shared" si="25"/>
        <v>3558.4</v>
      </c>
      <c r="Z107" s="988">
        <f t="shared" si="25"/>
        <v>51.2</v>
      </c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  <c r="ED107" s="73"/>
      <c r="EE107" s="73"/>
      <c r="EF107" s="73"/>
      <c r="EG107" s="73"/>
      <c r="EH107" s="73"/>
      <c r="EI107" s="73"/>
      <c r="EJ107" s="73"/>
      <c r="EK107" s="73"/>
      <c r="EL107" s="73"/>
      <c r="EM107" s="73"/>
      <c r="EN107" s="73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3"/>
      <c r="FF107" s="73"/>
      <c r="FG107" s="73"/>
      <c r="FH107" s="73"/>
      <c r="FI107" s="73"/>
      <c r="FJ107" s="73"/>
      <c r="FK107" s="73"/>
      <c r="FL107" s="73"/>
      <c r="FM107" s="73"/>
      <c r="FN107" s="73"/>
      <c r="FO107" s="73"/>
      <c r="FP107" s="73"/>
      <c r="FQ107" s="73"/>
      <c r="FR107" s="73"/>
      <c r="FS107" s="73"/>
      <c r="FT107" s="73"/>
      <c r="FU107" s="73"/>
      <c r="FV107" s="73"/>
      <c r="FW107" s="73"/>
      <c r="FX107" s="73"/>
      <c r="FY107" s="73"/>
      <c r="FZ107" s="73"/>
      <c r="GA107" s="73"/>
      <c r="GB107" s="73"/>
      <c r="GC107" s="73"/>
      <c r="GD107" s="73"/>
      <c r="GE107" s="73"/>
      <c r="GF107" s="73"/>
      <c r="GG107" s="73"/>
      <c r="GH107" s="73"/>
      <c r="GI107" s="73"/>
      <c r="GJ107" s="73"/>
      <c r="GK107" s="73"/>
      <c r="GL107" s="73"/>
      <c r="GM107" s="73"/>
      <c r="GN107" s="73"/>
      <c r="GO107" s="73"/>
      <c r="GP107" s="73"/>
      <c r="GQ107" s="73"/>
      <c r="GR107" s="73"/>
      <c r="GS107" s="73"/>
      <c r="GT107" s="73"/>
      <c r="GU107" s="73"/>
      <c r="GV107" s="73"/>
      <c r="GW107" s="73"/>
      <c r="GX107" s="73"/>
      <c r="GY107" s="73"/>
      <c r="GZ107" s="73"/>
      <c r="HA107" s="73"/>
      <c r="HB107" s="73"/>
      <c r="HC107" s="73"/>
      <c r="HD107" s="73"/>
      <c r="HE107" s="73"/>
      <c r="HF107" s="73"/>
      <c r="HG107" s="73"/>
      <c r="HH107" s="73"/>
      <c r="HI107" s="73"/>
      <c r="HJ107" s="73"/>
      <c r="HK107" s="73"/>
      <c r="HL107" s="73"/>
      <c r="HM107" s="73"/>
      <c r="HN107" s="73"/>
      <c r="HO107" s="73"/>
      <c r="HP107" s="73"/>
      <c r="HQ107" s="73"/>
      <c r="HR107" s="73"/>
      <c r="HS107" s="73"/>
      <c r="HT107" s="73"/>
      <c r="HU107" s="73"/>
      <c r="HV107" s="73"/>
      <c r="HW107" s="73"/>
      <c r="HX107" s="73"/>
      <c r="HY107" s="73"/>
      <c r="HZ107" s="73"/>
      <c r="IA107" s="73"/>
      <c r="IB107" s="73"/>
      <c r="IC107" s="73"/>
      <c r="ID107" s="73"/>
      <c r="IE107" s="73"/>
      <c r="IF107" s="73"/>
      <c r="IG107" s="73"/>
      <c r="IH107" s="73"/>
      <c r="II107" s="73"/>
      <c r="IJ107" s="73"/>
      <c r="IK107" s="73"/>
      <c r="IL107" s="73"/>
      <c r="IM107" s="73"/>
      <c r="IN107" s="73"/>
      <c r="IO107" s="73"/>
      <c r="IP107" s="73"/>
    </row>
    <row r="108" spans="1:256" s="73" customFormat="1" ht="12" thickTop="1">
      <c r="A108" s="995" t="s">
        <v>176</v>
      </c>
      <c r="B108" s="211"/>
      <c r="C108" s="212"/>
      <c r="D108" s="212"/>
      <c r="E108" s="212"/>
      <c r="F108" s="212"/>
      <c r="G108" s="212"/>
      <c r="H108" s="212"/>
      <c r="I108" s="213"/>
      <c r="J108" s="213"/>
      <c r="K108" s="213"/>
      <c r="L108" s="214"/>
      <c r="M108" s="214"/>
      <c r="N108" s="215"/>
      <c r="O108" s="216"/>
      <c r="P108" s="217"/>
      <c r="Q108" s="218"/>
      <c r="R108" s="218"/>
      <c r="S108" s="52"/>
      <c r="T108" s="85"/>
      <c r="U108" s="784"/>
      <c r="V108" s="784"/>
      <c r="X108" s="855"/>
      <c r="Y108" s="784"/>
      <c r="Z108" s="973"/>
      <c r="AA108" s="1"/>
      <c r="AB108" s="1"/>
      <c r="AC108" s="1"/>
      <c r="AD108" s="1"/>
      <c r="AE108" s="1"/>
      <c r="AF108" s="219"/>
      <c r="AG108" s="219"/>
      <c r="IQ108" s="86"/>
      <c r="IR108" s="86"/>
      <c r="IS108" s="86"/>
      <c r="IT108" s="86"/>
      <c r="IU108" s="86"/>
      <c r="IV108" s="86"/>
    </row>
    <row r="109" spans="1:256" s="73" customFormat="1">
      <c r="A109" s="972"/>
      <c r="B109" s="144" t="s">
        <v>67</v>
      </c>
      <c r="C109" s="111"/>
      <c r="D109" s="111"/>
      <c r="E109" s="111"/>
      <c r="F109" s="111"/>
      <c r="G109" s="111"/>
      <c r="H109" s="111"/>
      <c r="I109" s="112"/>
      <c r="J109" s="112"/>
      <c r="K109" s="112"/>
      <c r="L109" s="113"/>
      <c r="M109" s="113"/>
      <c r="N109" s="114"/>
      <c r="O109" s="207"/>
      <c r="P109" s="182"/>
      <c r="Q109" s="51"/>
      <c r="R109" s="51"/>
      <c r="S109" s="183"/>
      <c r="T109" s="844"/>
      <c r="U109" s="835"/>
      <c r="V109" s="835"/>
      <c r="W109" s="229"/>
      <c r="X109" s="854"/>
      <c r="Y109" s="835"/>
      <c r="Z109" s="982"/>
      <c r="AA109" s="1"/>
      <c r="AB109" s="1"/>
      <c r="AC109" s="1"/>
      <c r="AD109" s="1"/>
      <c r="AE109" s="1"/>
      <c r="IQ109" s="86"/>
      <c r="IR109" s="86"/>
      <c r="IS109" s="86"/>
      <c r="IT109" s="86"/>
      <c r="IU109" s="86"/>
      <c r="IV109" s="86"/>
    </row>
    <row r="110" spans="1:256" s="73" customFormat="1">
      <c r="A110" s="980"/>
      <c r="B110" s="154" t="s">
        <v>28</v>
      </c>
      <c r="C110" s="212">
        <v>0</v>
      </c>
      <c r="D110" s="212">
        <v>2</v>
      </c>
      <c r="E110" s="212">
        <v>20</v>
      </c>
      <c r="F110" s="212">
        <v>1</v>
      </c>
      <c r="G110" s="212">
        <v>0</v>
      </c>
      <c r="H110" s="212">
        <f>SUM(C110:G110)</f>
        <v>23</v>
      </c>
      <c r="I110" s="213"/>
      <c r="J110" s="213"/>
      <c r="K110" s="213"/>
      <c r="L110" s="47">
        <f>((C110*$C$5)+(D110*$D$5)+(E110*$E$5)+(F110*$F$5)+(G110*$G$5))</f>
        <v>1744.2319999999997</v>
      </c>
      <c r="M110" s="214">
        <v>0</v>
      </c>
      <c r="N110" s="215">
        <v>0</v>
      </c>
      <c r="O110" s="216">
        <f>0.5*P2</f>
        <v>13</v>
      </c>
      <c r="P110" s="50">
        <f>(C110+D110+E110+F110+G110)*O110</f>
        <v>299</v>
      </c>
      <c r="Q110" s="155">
        <f>M110*O110</f>
        <v>0</v>
      </c>
      <c r="R110" s="156">
        <f>N110*O110</f>
        <v>0</v>
      </c>
      <c r="S110" s="52">
        <f>(L110+M110+N110)*O110</f>
        <v>22675.015999999996</v>
      </c>
      <c r="T110" s="841" t="s">
        <v>407</v>
      </c>
      <c r="U110" s="842" t="str">
        <f>IF($T110="RP",O110,"")</f>
        <v/>
      </c>
      <c r="V110" s="842" t="str">
        <f>IF($T110="RP",P110,"")</f>
        <v/>
      </c>
      <c r="W110" s="843" t="str">
        <f>IF($T110="RP",SUM(Q110:R110),"")</f>
        <v/>
      </c>
      <c r="X110" s="842">
        <f>IF($T110="RK",O110,"")</f>
        <v>13</v>
      </c>
      <c r="Y110" s="842">
        <f>IF($T110="RK",P110,"")</f>
        <v>299</v>
      </c>
      <c r="Z110" s="984">
        <f>IF($T110="Rk",SUM(Q110:R110),"")</f>
        <v>0</v>
      </c>
      <c r="AA110" s="1"/>
      <c r="AB110" s="1"/>
      <c r="AC110" s="1"/>
      <c r="AD110" s="1"/>
      <c r="AE110" s="1"/>
      <c r="IQ110" s="86"/>
      <c r="IR110" s="86"/>
      <c r="IS110" s="86"/>
      <c r="IT110" s="86"/>
      <c r="IU110" s="86"/>
      <c r="IV110" s="86"/>
    </row>
    <row r="111" spans="1:256" s="73" customFormat="1">
      <c r="A111" s="981"/>
      <c r="B111" s="144" t="s">
        <v>68</v>
      </c>
      <c r="C111" s="111"/>
      <c r="D111" s="111"/>
      <c r="E111" s="111"/>
      <c r="F111" s="111"/>
      <c r="G111" s="111"/>
      <c r="H111" s="111"/>
      <c r="I111" s="112"/>
      <c r="J111" s="112"/>
      <c r="K111" s="112"/>
      <c r="L111" s="113"/>
      <c r="M111" s="113"/>
      <c r="N111" s="114"/>
      <c r="O111" s="207"/>
      <c r="P111" s="182"/>
      <c r="Q111" s="51"/>
      <c r="R111" s="51"/>
      <c r="S111" s="183"/>
      <c r="T111" s="85"/>
      <c r="U111" s="784"/>
      <c r="V111" s="784"/>
      <c r="X111" s="855"/>
      <c r="Y111" s="784"/>
      <c r="Z111" s="973"/>
      <c r="AA111" s="1"/>
      <c r="AB111" s="1"/>
      <c r="AC111" s="1"/>
      <c r="AD111" s="1"/>
      <c r="AE111" s="1"/>
      <c r="IQ111" s="86"/>
      <c r="IR111" s="86"/>
      <c r="IS111" s="86"/>
      <c r="IT111" s="86"/>
      <c r="IU111" s="86"/>
      <c r="IV111" s="86"/>
    </row>
    <row r="112" spans="1:256" s="73" customFormat="1">
      <c r="A112" s="972"/>
      <c r="B112" s="144" t="s">
        <v>69</v>
      </c>
      <c r="C112" s="111"/>
      <c r="D112" s="111"/>
      <c r="E112" s="111"/>
      <c r="F112" s="111"/>
      <c r="G112" s="111"/>
      <c r="H112" s="111"/>
      <c r="I112" s="112"/>
      <c r="J112" s="112"/>
      <c r="K112" s="112"/>
      <c r="L112" s="113"/>
      <c r="M112" s="113"/>
      <c r="N112" s="114"/>
      <c r="O112" s="207"/>
      <c r="P112" s="182"/>
      <c r="Q112" s="51"/>
      <c r="R112" s="51"/>
      <c r="S112" s="183"/>
      <c r="T112" s="85"/>
      <c r="U112" s="784"/>
      <c r="V112" s="784"/>
      <c r="X112" s="855"/>
      <c r="Y112" s="784"/>
      <c r="Z112" s="973"/>
      <c r="AA112" s="1"/>
      <c r="AB112" s="1"/>
      <c r="AC112" s="1"/>
      <c r="AD112" s="1"/>
      <c r="AE112" s="1"/>
      <c r="IQ112" s="86"/>
      <c r="IR112" s="86"/>
      <c r="IS112" s="86"/>
      <c r="IT112" s="86"/>
      <c r="IU112" s="86"/>
      <c r="IV112" s="86"/>
    </row>
    <row r="113" spans="1:256" s="73" customFormat="1">
      <c r="A113" s="990"/>
      <c r="B113" s="144" t="s">
        <v>177</v>
      </c>
      <c r="C113" s="111"/>
      <c r="D113" s="111"/>
      <c r="E113" s="111"/>
      <c r="F113" s="111"/>
      <c r="G113" s="111"/>
      <c r="H113" s="111"/>
      <c r="I113" s="112"/>
      <c r="J113" s="112"/>
      <c r="K113" s="112"/>
      <c r="L113" s="113"/>
      <c r="M113" s="113"/>
      <c r="N113" s="114"/>
      <c r="O113" s="207"/>
      <c r="P113" s="182"/>
      <c r="Q113" s="51"/>
      <c r="R113" s="51"/>
      <c r="S113" s="183"/>
      <c r="T113" s="85"/>
      <c r="U113" s="784"/>
      <c r="V113" s="784"/>
      <c r="X113" s="855"/>
      <c r="Y113" s="784"/>
      <c r="Z113" s="973"/>
      <c r="AA113" s="1"/>
      <c r="AB113" s="1"/>
      <c r="AC113" s="1"/>
      <c r="AD113" s="1"/>
      <c r="AE113" s="1"/>
      <c r="IQ113" s="86"/>
      <c r="IR113" s="86"/>
      <c r="IS113" s="86"/>
      <c r="IT113" s="86"/>
      <c r="IU113" s="86"/>
      <c r="IV113" s="86"/>
    </row>
    <row r="114" spans="1:256" s="73" customFormat="1">
      <c r="A114" s="970"/>
      <c r="B114" s="208" t="s">
        <v>178</v>
      </c>
      <c r="C114" s="45">
        <v>0</v>
      </c>
      <c r="D114" s="45">
        <v>2</v>
      </c>
      <c r="E114" s="45">
        <v>16</v>
      </c>
      <c r="F114" s="45">
        <v>0.5</v>
      </c>
      <c r="G114" s="45">
        <v>0</v>
      </c>
      <c r="H114" s="45">
        <f>SUM(C114:G114)</f>
        <v>18.5</v>
      </c>
      <c r="I114" s="46">
        <f>D114*$O114</f>
        <v>78</v>
      </c>
      <c r="J114" s="46">
        <f>E114*$O114</f>
        <v>624</v>
      </c>
      <c r="K114" s="46">
        <f>F114*$O114</f>
        <v>19.5</v>
      </c>
      <c r="L114" s="47">
        <f>((C114*$C$5)+(D114*$D$5)+(E114*$E$5)+(F114*$F$5)+(G114*$G$5))</f>
        <v>1422.5679999999998</v>
      </c>
      <c r="M114" s="47">
        <v>0</v>
      </c>
      <c r="N114" s="119">
        <v>0</v>
      </c>
      <c r="O114" s="49">
        <f>3*O110</f>
        <v>39</v>
      </c>
      <c r="P114" s="50">
        <f>(C114+D114+E114+F114+G114)*O114</f>
        <v>721.5</v>
      </c>
      <c r="Q114" s="51">
        <f>M114*O114</f>
        <v>0</v>
      </c>
      <c r="R114" s="51">
        <f>N114*O114</f>
        <v>0</v>
      </c>
      <c r="S114" s="52">
        <f>(L114+M114+N114)*O114</f>
        <v>55480.151999999987</v>
      </c>
      <c r="T114" s="841" t="s">
        <v>407</v>
      </c>
      <c r="U114" s="842" t="str">
        <f>IF($T114="RP",O114,"")</f>
        <v/>
      </c>
      <c r="V114" s="842" t="str">
        <f>IF($T114="RP",P114,"")</f>
        <v/>
      </c>
      <c r="W114" s="843" t="str">
        <f>IF($T114="RP",SUM(Q114:R114),"")</f>
        <v/>
      </c>
      <c r="X114" s="842">
        <f>IF($T114="RK",O114,"")</f>
        <v>39</v>
      </c>
      <c r="Y114" s="842">
        <f>IF($T114="RK",P114,"")</f>
        <v>721.5</v>
      </c>
      <c r="Z114" s="984">
        <f>IF($T114="Rk",SUM(Q114:R114),"")</f>
        <v>0</v>
      </c>
      <c r="AA114" s="1"/>
      <c r="AB114" s="1"/>
      <c r="AC114" s="1"/>
      <c r="AD114" s="1"/>
      <c r="AE114" s="1"/>
      <c r="IQ114" s="86"/>
      <c r="IR114" s="86"/>
      <c r="IS114" s="86"/>
      <c r="IT114" s="86"/>
      <c r="IU114" s="86"/>
      <c r="IV114" s="86"/>
    </row>
    <row r="115" spans="1:256" s="73" customFormat="1">
      <c r="A115" s="981"/>
      <c r="B115" s="220" t="s">
        <v>70</v>
      </c>
      <c r="C115" s="221"/>
      <c r="D115" s="221"/>
      <c r="E115" s="221"/>
      <c r="F115" s="221"/>
      <c r="G115" s="221"/>
      <c r="H115" s="221"/>
      <c r="I115" s="222"/>
      <c r="J115" s="222"/>
      <c r="K115" s="222"/>
      <c r="L115" s="223"/>
      <c r="M115" s="223"/>
      <c r="N115" s="224"/>
      <c r="O115" s="225" t="s">
        <v>30</v>
      </c>
      <c r="P115" s="226"/>
      <c r="Q115" s="227"/>
      <c r="R115" s="227"/>
      <c r="S115" s="228"/>
      <c r="T115" s="85"/>
      <c r="U115" s="784"/>
      <c r="V115" s="784"/>
      <c r="W115" s="832"/>
      <c r="X115" s="857"/>
      <c r="Y115" s="784"/>
      <c r="Z115" s="973"/>
      <c r="AA115" s="1"/>
      <c r="AB115" s="1"/>
      <c r="AC115" s="1"/>
      <c r="AD115" s="1"/>
      <c r="AE115" s="1"/>
      <c r="IQ115" s="86"/>
      <c r="IR115" s="86"/>
      <c r="IS115" s="86"/>
      <c r="IT115" s="86"/>
      <c r="IU115" s="86"/>
      <c r="IV115" s="86"/>
    </row>
    <row r="116" spans="1:256" s="73" customFormat="1">
      <c r="A116" s="990"/>
      <c r="B116" s="144" t="s">
        <v>154</v>
      </c>
      <c r="C116" s="111"/>
      <c r="D116" s="111"/>
      <c r="E116" s="111"/>
      <c r="F116" s="111"/>
      <c r="G116" s="111"/>
      <c r="H116" s="111"/>
      <c r="I116" s="112"/>
      <c r="J116" s="112"/>
      <c r="K116" s="112"/>
      <c r="L116" s="113"/>
      <c r="M116" s="113"/>
      <c r="N116" s="114"/>
      <c r="O116" s="207"/>
      <c r="P116" s="182"/>
      <c r="Q116" s="51"/>
      <c r="R116" s="51"/>
      <c r="S116" s="183"/>
      <c r="T116" s="85"/>
      <c r="U116" s="784"/>
      <c r="V116" s="784"/>
      <c r="W116" s="832"/>
      <c r="X116" s="857"/>
      <c r="Y116" s="784"/>
      <c r="Z116" s="973"/>
      <c r="AA116" s="1"/>
      <c r="AB116" s="1"/>
      <c r="AC116" s="1"/>
      <c r="AD116" s="1"/>
      <c r="AE116" s="1"/>
      <c r="IQ116" s="86"/>
      <c r="IR116" s="86"/>
      <c r="IS116" s="86"/>
      <c r="IT116" s="86"/>
      <c r="IU116" s="86"/>
      <c r="IV116" s="86"/>
    </row>
    <row r="117" spans="1:256" s="73" customFormat="1" ht="12" thickBot="1">
      <c r="A117" s="979"/>
      <c r="B117" s="208" t="s">
        <v>179</v>
      </c>
      <c r="C117" s="45">
        <v>0</v>
      </c>
      <c r="D117" s="45">
        <v>2</v>
      </c>
      <c r="E117" s="45">
        <v>16</v>
      </c>
      <c r="F117" s="45">
        <v>0.5</v>
      </c>
      <c r="G117" s="45">
        <v>0</v>
      </c>
      <c r="H117" s="45">
        <f>SUM(C117:G117)</f>
        <v>18.5</v>
      </c>
      <c r="I117" s="46">
        <f>D117*$O117</f>
        <v>78</v>
      </c>
      <c r="J117" s="46">
        <f>E117*$O117</f>
        <v>624</v>
      </c>
      <c r="K117" s="46">
        <f>F117*$O117</f>
        <v>19.5</v>
      </c>
      <c r="L117" s="47">
        <f>((C117*$C$5)+(D117*$D$5)+(E117*$E$5)+(F117*$F$5)+(G117*$G$5))</f>
        <v>1422.5679999999998</v>
      </c>
      <c r="M117" s="47">
        <v>0</v>
      </c>
      <c r="N117" s="119">
        <v>8</v>
      </c>
      <c r="O117" s="49">
        <f>O110*3</f>
        <v>39</v>
      </c>
      <c r="P117" s="50">
        <f>(C117+D117+E117+F117+G117)*O117</f>
        <v>721.5</v>
      </c>
      <c r="Q117" s="51">
        <f>M117*O117</f>
        <v>0</v>
      </c>
      <c r="R117" s="51">
        <f>N117*O117</f>
        <v>312</v>
      </c>
      <c r="S117" s="52">
        <f>(L117+M117+N117)*O117</f>
        <v>55792.151999999987</v>
      </c>
      <c r="T117" s="841" t="s">
        <v>408</v>
      </c>
      <c r="U117" s="842">
        <f>IF($T117="RP",O117,"")</f>
        <v>39</v>
      </c>
      <c r="V117" s="842">
        <f>IF($T117="RP",P117,"")</f>
        <v>721.5</v>
      </c>
      <c r="W117" s="843">
        <f>IF($T117="RP",SUM(Q117:R117),"")</f>
        <v>312</v>
      </c>
      <c r="X117" s="842" t="str">
        <f>IF($T117="RK",O117,"")</f>
        <v/>
      </c>
      <c r="Y117" s="842" t="str">
        <f>IF($T117="RK",P117,"")</f>
        <v/>
      </c>
      <c r="Z117" s="984" t="str">
        <f>IF($T117="Rk",SUM(Q117:R117),"")</f>
        <v/>
      </c>
      <c r="AA117" s="1"/>
      <c r="AB117" s="1"/>
      <c r="AC117" s="1"/>
      <c r="AD117" s="1"/>
      <c r="AE117" s="1"/>
      <c r="IQ117" s="86"/>
      <c r="IR117" s="86"/>
      <c r="IS117" s="86"/>
      <c r="IT117" s="86"/>
      <c r="IU117" s="86"/>
      <c r="IV117" s="86"/>
    </row>
    <row r="118" spans="1:256" s="73" customFormat="1" ht="12.75" thickTop="1" thickBot="1">
      <c r="A118" s="996" t="s">
        <v>29</v>
      </c>
      <c r="B118" s="54"/>
      <c r="C118" s="55">
        <f t="shared" ref="C118:H118" si="26">SUM(C109:C117)</f>
        <v>0</v>
      </c>
      <c r="D118" s="55">
        <f t="shared" si="26"/>
        <v>6</v>
      </c>
      <c r="E118" s="55">
        <f t="shared" si="26"/>
        <v>52</v>
      </c>
      <c r="F118" s="55">
        <f t="shared" si="26"/>
        <v>2</v>
      </c>
      <c r="G118" s="55">
        <f t="shared" si="26"/>
        <v>0</v>
      </c>
      <c r="H118" s="55">
        <f t="shared" si="26"/>
        <v>60</v>
      </c>
      <c r="I118" s="230">
        <f>SUM(I95:I117)</f>
        <v>220</v>
      </c>
      <c r="J118" s="230">
        <f>SUM(J95:J117)</f>
        <v>2080</v>
      </c>
      <c r="K118" s="230">
        <f>SUM(K95:K117)</f>
        <v>167</v>
      </c>
      <c r="L118" s="57">
        <f>SUM(L109:L117)</f>
        <v>4589.3679999999986</v>
      </c>
      <c r="M118" s="57">
        <f>SUM(M109:M117)</f>
        <v>0</v>
      </c>
      <c r="N118" s="121">
        <f>SUM(N109:N117)</f>
        <v>8</v>
      </c>
      <c r="O118" s="59"/>
      <c r="P118" s="122">
        <f>SUM(P109:P117)</f>
        <v>1742</v>
      </c>
      <c r="Q118" s="57">
        <f>SUM(Q109:Q117)</f>
        <v>0</v>
      </c>
      <c r="R118" s="57">
        <f>SUM(R109:R117)</f>
        <v>312</v>
      </c>
      <c r="S118" s="57">
        <f>SUM(S109:S117)</f>
        <v>133947.31999999995</v>
      </c>
      <c r="T118" s="57"/>
      <c r="U118" s="853">
        <f t="shared" ref="U118:Z118" si="27">SUM(U109:U117)</f>
        <v>39</v>
      </c>
      <c r="V118" s="853">
        <f t="shared" si="27"/>
        <v>721.5</v>
      </c>
      <c r="W118" s="57">
        <f t="shared" si="27"/>
        <v>312</v>
      </c>
      <c r="X118" s="853">
        <f t="shared" si="27"/>
        <v>52</v>
      </c>
      <c r="Y118" s="853">
        <f t="shared" si="27"/>
        <v>1020.5</v>
      </c>
      <c r="Z118" s="976">
        <f t="shared" si="27"/>
        <v>0</v>
      </c>
      <c r="AA118" s="1"/>
      <c r="AB118" s="1"/>
      <c r="AC118" s="1"/>
      <c r="AD118" s="1"/>
      <c r="AE118" s="1"/>
      <c r="IQ118" s="86"/>
      <c r="IR118" s="86"/>
      <c r="IS118" s="86"/>
      <c r="IT118" s="86"/>
      <c r="IU118" s="86"/>
      <c r="IV118" s="86"/>
    </row>
    <row r="119" spans="1:256" s="73" customFormat="1" ht="12" thickTop="1">
      <c r="A119" s="993" t="s">
        <v>71</v>
      </c>
      <c r="B119" s="194"/>
      <c r="C119" s="195"/>
      <c r="D119" s="195"/>
      <c r="E119" s="195"/>
      <c r="F119" s="195"/>
      <c r="G119" s="195"/>
      <c r="H119" s="195"/>
      <c r="I119" s="196"/>
      <c r="J119" s="196"/>
      <c r="K119" s="196"/>
      <c r="L119" s="197"/>
      <c r="M119" s="197"/>
      <c r="N119" s="198"/>
      <c r="O119" s="199"/>
      <c r="P119" s="200"/>
      <c r="Q119" s="201"/>
      <c r="R119" s="201"/>
      <c r="S119" s="202"/>
      <c r="T119" s="85"/>
      <c r="U119" s="784"/>
      <c r="V119" s="784"/>
      <c r="W119" s="231"/>
      <c r="X119" s="858"/>
      <c r="Y119" s="784"/>
      <c r="Z119" s="973"/>
      <c r="AA119" s="1"/>
      <c r="AB119" s="1"/>
      <c r="AC119" s="1"/>
      <c r="AD119" s="1"/>
      <c r="AE119" s="1"/>
      <c r="IQ119" s="86"/>
      <c r="IR119" s="86"/>
      <c r="IS119" s="86"/>
      <c r="IT119" s="86"/>
      <c r="IU119" s="86"/>
      <c r="IV119" s="86"/>
    </row>
    <row r="120" spans="1:256" s="73" customFormat="1">
      <c r="A120" s="994"/>
      <c r="B120" s="35" t="s">
        <v>155</v>
      </c>
      <c r="C120" s="111"/>
      <c r="D120" s="111"/>
      <c r="E120" s="111"/>
      <c r="F120" s="111"/>
      <c r="G120" s="111"/>
      <c r="H120" s="111"/>
      <c r="I120" s="112"/>
      <c r="J120" s="112"/>
      <c r="K120" s="112"/>
      <c r="L120" s="113"/>
      <c r="M120" s="113"/>
      <c r="N120" s="114"/>
      <c r="O120" s="207"/>
      <c r="P120" s="182"/>
      <c r="Q120" s="51"/>
      <c r="R120" s="51"/>
      <c r="S120" s="183"/>
      <c r="T120" s="844"/>
      <c r="U120" s="835"/>
      <c r="V120" s="835"/>
      <c r="W120" s="229"/>
      <c r="X120" s="854"/>
      <c r="Y120" s="835"/>
      <c r="Z120" s="982"/>
      <c r="AA120" s="1"/>
      <c r="AB120" s="1"/>
      <c r="AC120" s="1"/>
      <c r="AD120" s="1"/>
      <c r="AE120" s="1"/>
      <c r="IQ120" s="86"/>
      <c r="IR120" s="86"/>
      <c r="IS120" s="86"/>
      <c r="IT120" s="86"/>
      <c r="IU120" s="86"/>
      <c r="IV120" s="86"/>
    </row>
    <row r="121" spans="1:256" s="73" customFormat="1">
      <c r="A121" s="990"/>
      <c r="B121" s="35" t="s">
        <v>72</v>
      </c>
      <c r="C121" s="45">
        <v>0</v>
      </c>
      <c r="D121" s="45">
        <v>0.5</v>
      </c>
      <c r="E121" s="45">
        <v>10</v>
      </c>
      <c r="F121" s="45">
        <v>0.5</v>
      </c>
      <c r="G121" s="45">
        <v>0</v>
      </c>
      <c r="H121" s="45">
        <f>SUM(C121:G121)</f>
        <v>11</v>
      </c>
      <c r="I121" s="46"/>
      <c r="J121" s="46"/>
      <c r="K121" s="46"/>
      <c r="L121" s="47">
        <f>((C121*$C$5)+(D121*$D$5)+(E121*$E$5)+(F121*$F$5)+(G121*$G$5))</f>
        <v>824.31999999999994</v>
      </c>
      <c r="M121" s="47">
        <v>0</v>
      </c>
      <c r="N121" s="119">
        <v>8</v>
      </c>
      <c r="O121" s="49">
        <f>P10*0.5</f>
        <v>32</v>
      </c>
      <c r="P121" s="50">
        <f>(C121+D121+E121+F121+G121)*O121</f>
        <v>352</v>
      </c>
      <c r="Q121" s="155">
        <f>M121*O121</f>
        <v>0</v>
      </c>
      <c r="R121" s="156">
        <f>N121*O121</f>
        <v>256</v>
      </c>
      <c r="S121" s="52">
        <f>(L121+M121+N121)*O121</f>
        <v>26634.239999999998</v>
      </c>
      <c r="T121" s="841" t="s">
        <v>408</v>
      </c>
      <c r="U121" s="842">
        <f>IF($T121="RP",O121,"")</f>
        <v>32</v>
      </c>
      <c r="V121" s="842">
        <f>IF($T121="RP",P121,"")</f>
        <v>352</v>
      </c>
      <c r="W121" s="843">
        <f>IF($T121="RP",SUM(Q121:R121),"")</f>
        <v>256</v>
      </c>
      <c r="X121" s="842" t="str">
        <f>IF($T121="RK",O121,"")</f>
        <v/>
      </c>
      <c r="Y121" s="842" t="str">
        <f>IF($T121="RK",P121,"")</f>
        <v/>
      </c>
      <c r="Z121" s="984" t="str">
        <f>IF($T121="Rk",SUM(Q121:R121),"")</f>
        <v/>
      </c>
      <c r="AA121" s="1"/>
      <c r="AB121" s="1"/>
      <c r="AC121" s="1"/>
      <c r="AD121" s="1"/>
      <c r="AE121" s="1"/>
      <c r="IQ121" s="86"/>
      <c r="IR121" s="86"/>
      <c r="IS121" s="86"/>
      <c r="IT121" s="86"/>
      <c r="IU121" s="86"/>
      <c r="IV121" s="86"/>
    </row>
    <row r="122" spans="1:256" s="73" customFormat="1">
      <c r="A122" s="994"/>
      <c r="B122" s="209" t="s">
        <v>157</v>
      </c>
      <c r="C122" s="111"/>
      <c r="D122" s="111"/>
      <c r="E122" s="111"/>
      <c r="F122" s="111"/>
      <c r="G122" s="111"/>
      <c r="H122" s="111"/>
      <c r="I122" s="112"/>
      <c r="J122" s="112"/>
      <c r="K122" s="112"/>
      <c r="L122" s="113"/>
      <c r="M122" s="113"/>
      <c r="N122" s="114"/>
      <c r="O122" s="207"/>
      <c r="P122" s="182"/>
      <c r="Q122" s="51"/>
      <c r="R122" s="51"/>
      <c r="S122" s="183"/>
      <c r="T122" s="85"/>
      <c r="U122" s="784"/>
      <c r="V122" s="784"/>
      <c r="X122" s="855"/>
      <c r="Y122" s="784"/>
      <c r="Z122" s="973"/>
      <c r="AA122" s="1"/>
      <c r="AB122" s="1"/>
      <c r="AC122" s="1"/>
      <c r="AD122" s="1"/>
      <c r="AE122" s="1"/>
      <c r="IQ122" s="86"/>
      <c r="IR122" s="86"/>
      <c r="IS122" s="86"/>
      <c r="IT122" s="86"/>
      <c r="IU122" s="86"/>
      <c r="IV122" s="86"/>
    </row>
    <row r="123" spans="1:256" s="73" customFormat="1" ht="12" thickBot="1">
      <c r="A123" s="990"/>
      <c r="B123" s="35" t="s">
        <v>156</v>
      </c>
      <c r="C123" s="111">
        <v>0</v>
      </c>
      <c r="D123" s="111">
        <v>0</v>
      </c>
      <c r="E123" s="111">
        <v>0.25</v>
      </c>
      <c r="F123" s="111">
        <v>0</v>
      </c>
      <c r="G123" s="111">
        <v>0</v>
      </c>
      <c r="H123" s="45">
        <f>SUM(C123:G123)</f>
        <v>0.25</v>
      </c>
      <c r="I123" s="46">
        <f>D123*$O123</f>
        <v>0</v>
      </c>
      <c r="J123" s="46">
        <f>E123*$O123</f>
        <v>8</v>
      </c>
      <c r="K123" s="46">
        <f>F123*$O123</f>
        <v>0</v>
      </c>
      <c r="L123" s="47">
        <f>((C123*$C$5)+(D123*$D$5)+(E123*$E$5)+(F123*$F$5)+(G123*$G$5))</f>
        <v>18.952499999999997</v>
      </c>
      <c r="M123" s="113">
        <v>0</v>
      </c>
      <c r="N123" s="114">
        <v>0</v>
      </c>
      <c r="O123" s="49">
        <f>O121</f>
        <v>32</v>
      </c>
      <c r="P123" s="50">
        <f>(C123+D123+E123+F123+G123)*O123</f>
        <v>8</v>
      </c>
      <c r="Q123" s="51">
        <f>M123*O123</f>
        <v>0</v>
      </c>
      <c r="R123" s="51">
        <f>N123*O123</f>
        <v>0</v>
      </c>
      <c r="S123" s="52">
        <f>(L123+M123+N123)*O123</f>
        <v>606.4799999999999</v>
      </c>
      <c r="T123" s="85" t="s">
        <v>407</v>
      </c>
      <c r="U123" s="842" t="str">
        <f>IF($T123="RP",O123,"")</f>
        <v/>
      </c>
      <c r="V123" s="842" t="str">
        <f>IF($T123="RP",P123,"")</f>
        <v/>
      </c>
      <c r="W123" s="827" t="str">
        <f>IF($T123="RP",SUM(Q123:R123),"")</f>
        <v/>
      </c>
      <c r="X123" s="842">
        <f>IF($T123="RK",O123,"")</f>
        <v>32</v>
      </c>
      <c r="Y123" s="842">
        <f>IF($T123="RK",P123,"")</f>
        <v>8</v>
      </c>
      <c r="Z123" s="984">
        <f>IF($T123="Rk",SUM(Q123:R123),"")</f>
        <v>0</v>
      </c>
      <c r="AA123" s="1"/>
      <c r="AB123" s="1"/>
      <c r="AC123" s="1"/>
      <c r="AD123" s="1"/>
      <c r="AE123" s="1"/>
      <c r="IQ123" s="86"/>
      <c r="IR123" s="86"/>
      <c r="IS123" s="86"/>
      <c r="IT123" s="86"/>
      <c r="IU123" s="86"/>
      <c r="IV123" s="86"/>
    </row>
    <row r="124" spans="1:256" s="73" customFormat="1" ht="12.75" thickTop="1" thickBot="1">
      <c r="A124" s="997" t="s">
        <v>29</v>
      </c>
      <c r="B124" s="54"/>
      <c r="C124" s="55">
        <f t="shared" ref="C124:H124" si="28">SUM(C121:C123)</f>
        <v>0</v>
      </c>
      <c r="D124" s="55">
        <f t="shared" si="28"/>
        <v>0.5</v>
      </c>
      <c r="E124" s="55">
        <f t="shared" si="28"/>
        <v>10.25</v>
      </c>
      <c r="F124" s="55">
        <f t="shared" si="28"/>
        <v>0.5</v>
      </c>
      <c r="G124" s="55">
        <f t="shared" si="28"/>
        <v>0</v>
      </c>
      <c r="H124" s="55">
        <f t="shared" si="28"/>
        <v>11.25</v>
      </c>
      <c r="I124" s="230">
        <f>SUM(I111:I112)</f>
        <v>0</v>
      </c>
      <c r="J124" s="230">
        <f>SUM(J111:J112)</f>
        <v>0</v>
      </c>
      <c r="K124" s="230">
        <f>SUM(K111:K112)</f>
        <v>0</v>
      </c>
      <c r="L124" s="57">
        <f>SUM(L121:L123)</f>
        <v>843.27249999999992</v>
      </c>
      <c r="M124" s="57">
        <f>SUM(M121:M123)</f>
        <v>0</v>
      </c>
      <c r="N124" s="121">
        <f>SUM(N121:N123)</f>
        <v>8</v>
      </c>
      <c r="O124" s="59"/>
      <c r="P124" s="122">
        <f>SUM(P121:P123)</f>
        <v>360</v>
      </c>
      <c r="Q124" s="57">
        <f>SUM(Q121:Q123)</f>
        <v>0</v>
      </c>
      <c r="R124" s="57">
        <f>SUM(R121:R123)</f>
        <v>256</v>
      </c>
      <c r="S124" s="57">
        <f>SUM(S121:S123)</f>
        <v>27240.719999999998</v>
      </c>
      <c r="T124" s="57"/>
      <c r="U124" s="853">
        <f t="shared" ref="U124:Z124" si="29">SUM(U121:U123)</f>
        <v>32</v>
      </c>
      <c r="V124" s="853">
        <f t="shared" si="29"/>
        <v>352</v>
      </c>
      <c r="W124" s="325">
        <f t="shared" si="29"/>
        <v>256</v>
      </c>
      <c r="X124" s="853">
        <f t="shared" si="29"/>
        <v>32</v>
      </c>
      <c r="Y124" s="853">
        <f t="shared" si="29"/>
        <v>8</v>
      </c>
      <c r="Z124" s="976">
        <f t="shared" si="29"/>
        <v>0</v>
      </c>
      <c r="AA124" s="1"/>
      <c r="AB124" s="1"/>
      <c r="AC124" s="1"/>
      <c r="AD124" s="1"/>
      <c r="AE124" s="1"/>
      <c r="IQ124" s="86"/>
      <c r="IR124" s="86"/>
      <c r="IS124" s="86"/>
      <c r="IT124" s="86"/>
      <c r="IU124" s="86"/>
      <c r="IV124" s="86"/>
    </row>
    <row r="125" spans="1:256" s="73" customFormat="1" ht="12" thickTop="1">
      <c r="A125" s="993" t="s">
        <v>73</v>
      </c>
      <c r="B125" s="194"/>
      <c r="C125" s="195"/>
      <c r="D125" s="195"/>
      <c r="E125" s="195"/>
      <c r="F125" s="195"/>
      <c r="G125" s="195"/>
      <c r="H125" s="195"/>
      <c r="I125" s="196"/>
      <c r="J125" s="196"/>
      <c r="K125" s="196"/>
      <c r="L125" s="197"/>
      <c r="M125" s="197"/>
      <c r="N125" s="198"/>
      <c r="O125" s="199"/>
      <c r="P125" s="200"/>
      <c r="Q125" s="201"/>
      <c r="R125" s="201"/>
      <c r="S125" s="202"/>
      <c r="T125" s="85"/>
      <c r="U125" s="784"/>
      <c r="V125" s="784"/>
      <c r="W125" s="231"/>
      <c r="X125" s="858"/>
      <c r="Y125" s="784"/>
      <c r="Z125" s="973"/>
      <c r="AA125" s="1"/>
      <c r="AB125" s="1"/>
      <c r="AC125" s="1"/>
      <c r="AD125" s="1"/>
      <c r="AE125" s="1"/>
      <c r="IQ125" s="86"/>
      <c r="IR125" s="86"/>
      <c r="IS125" s="86"/>
      <c r="IT125" s="86"/>
      <c r="IU125" s="86"/>
      <c r="IV125" s="86"/>
    </row>
    <row r="126" spans="1:256" s="73" customFormat="1">
      <c r="A126" s="994"/>
      <c r="B126" s="35" t="s">
        <v>180</v>
      </c>
      <c r="C126" s="111"/>
      <c r="D126" s="111"/>
      <c r="E126" s="111"/>
      <c r="F126" s="111"/>
      <c r="G126" s="111"/>
      <c r="H126" s="111"/>
      <c r="I126" s="112"/>
      <c r="J126" s="112"/>
      <c r="K126" s="112"/>
      <c r="L126" s="113"/>
      <c r="M126" s="113"/>
      <c r="N126" s="114"/>
      <c r="O126" s="207"/>
      <c r="P126" s="182"/>
      <c r="Q126" s="51"/>
      <c r="R126" s="51"/>
      <c r="S126" s="183"/>
      <c r="T126" s="85"/>
      <c r="U126" s="784"/>
      <c r="V126" s="784"/>
      <c r="W126" s="232"/>
      <c r="X126" s="859"/>
      <c r="Y126" s="784"/>
      <c r="Z126" s="973"/>
      <c r="AA126" s="1"/>
      <c r="AB126" s="1"/>
      <c r="AC126" s="1"/>
      <c r="AD126" s="1"/>
      <c r="AE126" s="1"/>
      <c r="IQ126" s="86"/>
      <c r="IR126" s="86"/>
      <c r="IS126" s="86"/>
      <c r="IT126" s="86"/>
      <c r="IU126" s="86"/>
      <c r="IV126" s="86"/>
    </row>
    <row r="127" spans="1:256" s="73" customFormat="1">
      <c r="A127" s="972"/>
      <c r="B127" s="35" t="s">
        <v>181</v>
      </c>
      <c r="C127" s="111"/>
      <c r="D127" s="111"/>
      <c r="E127" s="111"/>
      <c r="F127" s="111"/>
      <c r="G127" s="111"/>
      <c r="H127" s="111"/>
      <c r="I127" s="112"/>
      <c r="J127" s="112"/>
      <c r="K127" s="112"/>
      <c r="L127" s="113"/>
      <c r="M127" s="113"/>
      <c r="N127" s="114"/>
      <c r="O127" s="207"/>
      <c r="P127" s="182"/>
      <c r="Q127" s="51"/>
      <c r="R127" s="51"/>
      <c r="S127" s="183"/>
      <c r="T127" s="85"/>
      <c r="U127" s="784"/>
      <c r="V127" s="784"/>
      <c r="W127" s="232"/>
      <c r="X127" s="859"/>
      <c r="Y127" s="784"/>
      <c r="Z127" s="973"/>
      <c r="AA127" s="1"/>
      <c r="AB127" s="1"/>
      <c r="AC127" s="1"/>
      <c r="AD127" s="1"/>
      <c r="AE127" s="1"/>
      <c r="IQ127" s="86"/>
      <c r="IR127" s="86"/>
      <c r="IS127" s="86"/>
      <c r="IT127" s="86"/>
      <c r="IU127" s="86"/>
      <c r="IV127" s="86"/>
    </row>
    <row r="128" spans="1:256" s="73" customFormat="1" ht="12" thickBot="1">
      <c r="A128" s="990"/>
      <c r="B128" s="35" t="s">
        <v>161</v>
      </c>
      <c r="C128" s="111">
        <v>0</v>
      </c>
      <c r="D128" s="111">
        <v>8</v>
      </c>
      <c r="E128" s="111">
        <v>200</v>
      </c>
      <c r="F128" s="111">
        <v>5</v>
      </c>
      <c r="G128" s="111">
        <v>10</v>
      </c>
      <c r="H128" s="45">
        <f>SUM(C128:G128)</f>
        <v>223</v>
      </c>
      <c r="I128" s="112"/>
      <c r="J128" s="112"/>
      <c r="K128" s="112"/>
      <c r="L128" s="47">
        <f>((C128*$C$5)+(D128*$D$5)+(E128*$E$5)+(F128*$F$5)+(G128*$G$5))</f>
        <v>17066.895999999997</v>
      </c>
      <c r="M128" s="47">
        <v>0</v>
      </c>
      <c r="N128" s="114">
        <v>50</v>
      </c>
      <c r="O128" s="207">
        <f>0.25*(V2-W2/3+V3+V4+V5+V6+V7)</f>
        <v>12.083333333333334</v>
      </c>
      <c r="P128" s="50">
        <f>(C128+D128+E128+F128+G128)*O128</f>
        <v>2694.5833333333335</v>
      </c>
      <c r="Q128" s="51">
        <f>M128*O128</f>
        <v>0</v>
      </c>
      <c r="R128" s="51">
        <f>N128*O128</f>
        <v>604.16666666666674</v>
      </c>
      <c r="S128" s="52">
        <f>(L128+M128+N128)*O128</f>
        <v>206829.15999999997</v>
      </c>
      <c r="T128" s="841" t="s">
        <v>407</v>
      </c>
      <c r="U128" s="842" t="str">
        <f>IF($T128="RP",O128,"")</f>
        <v/>
      </c>
      <c r="V128" s="842" t="str">
        <f>IF($T128="RP",P128,"")</f>
        <v/>
      </c>
      <c r="W128" s="843" t="str">
        <f>IF($T128="RP",SUM(Q128:R128),"")</f>
        <v/>
      </c>
      <c r="X128" s="842">
        <f>IF($T128="RK",O128,"")</f>
        <v>12.083333333333334</v>
      </c>
      <c r="Y128" s="842">
        <f>IF($T128="RK",P128,"")</f>
        <v>2694.5833333333335</v>
      </c>
      <c r="Z128" s="984">
        <f>IF($T128="Rk",SUM(Q128:R128),"")</f>
        <v>604.16666666666674</v>
      </c>
      <c r="AA128" s="1"/>
      <c r="AB128" s="1"/>
      <c r="AC128" s="1"/>
      <c r="AD128" s="1"/>
      <c r="AE128" s="1"/>
      <c r="IQ128" s="86"/>
      <c r="IR128" s="86"/>
      <c r="IS128" s="86"/>
      <c r="IT128" s="86"/>
      <c r="IU128" s="86"/>
      <c r="IV128" s="86"/>
    </row>
    <row r="129" spans="1:256" s="73" customFormat="1" ht="12.75" thickTop="1" thickBot="1">
      <c r="A129" s="997" t="s">
        <v>29</v>
      </c>
      <c r="B129" s="54"/>
      <c r="C129" s="55">
        <f t="shared" ref="C129:H129" si="30">SUM(C128:C128)</f>
        <v>0</v>
      </c>
      <c r="D129" s="55">
        <f t="shared" si="30"/>
        <v>8</v>
      </c>
      <c r="E129" s="55">
        <f t="shared" si="30"/>
        <v>200</v>
      </c>
      <c r="F129" s="55">
        <f t="shared" si="30"/>
        <v>5</v>
      </c>
      <c r="G129" s="55">
        <f t="shared" si="30"/>
        <v>10</v>
      </c>
      <c r="H129" s="55">
        <f t="shared" si="30"/>
        <v>223</v>
      </c>
      <c r="I129" s="230">
        <f>SUM(I114:I115)</f>
        <v>78</v>
      </c>
      <c r="J129" s="230">
        <f>SUM(J114:J115)</f>
        <v>624</v>
      </c>
      <c r="K129" s="230">
        <f>SUM(K114:K115)</f>
        <v>19.5</v>
      </c>
      <c r="L129" s="57">
        <f>SUM(L128:L128)</f>
        <v>17066.895999999997</v>
      </c>
      <c r="M129" s="57">
        <f>SUM(M128:M128)</f>
        <v>0</v>
      </c>
      <c r="N129" s="121">
        <f>SUM(N128:N128)</f>
        <v>50</v>
      </c>
      <c r="O129" s="59"/>
      <c r="P129" s="122">
        <f>SUM(P128:P128)</f>
        <v>2694.5833333333335</v>
      </c>
      <c r="Q129" s="57">
        <f>SUM(Q128:Q128)</f>
        <v>0</v>
      </c>
      <c r="R129" s="57">
        <f>SUM(R128:R128)</f>
        <v>604.16666666666674</v>
      </c>
      <c r="S129" s="57">
        <f>SUM(S128:S128)</f>
        <v>206829.15999999997</v>
      </c>
      <c r="T129" s="57">
        <f t="shared" ref="T129:Z129" si="31">SUM(T128:T128)</f>
        <v>0</v>
      </c>
      <c r="U129" s="853">
        <f t="shared" si="31"/>
        <v>0</v>
      </c>
      <c r="V129" s="853">
        <f t="shared" si="31"/>
        <v>0</v>
      </c>
      <c r="W129" s="57">
        <f t="shared" si="31"/>
        <v>0</v>
      </c>
      <c r="X129" s="853">
        <f t="shared" si="31"/>
        <v>12.083333333333334</v>
      </c>
      <c r="Y129" s="853">
        <f t="shared" si="31"/>
        <v>2694.5833333333335</v>
      </c>
      <c r="Z129" s="976">
        <f t="shared" si="31"/>
        <v>604.16666666666674</v>
      </c>
      <c r="AA129" s="1"/>
      <c r="AB129" s="1"/>
      <c r="AC129" s="1"/>
      <c r="AD129" s="1"/>
      <c r="AE129" s="1"/>
      <c r="IQ129" s="86"/>
      <c r="IR129" s="86"/>
      <c r="IS129" s="86"/>
      <c r="IT129" s="86"/>
      <c r="IU129" s="86"/>
      <c r="IV129" s="86"/>
    </row>
    <row r="130" spans="1:256" s="73" customFormat="1" ht="12" thickTop="1">
      <c r="A130" s="993" t="s">
        <v>347</v>
      </c>
      <c r="B130" s="194"/>
      <c r="C130" s="195"/>
      <c r="D130" s="195"/>
      <c r="E130" s="195"/>
      <c r="F130" s="195"/>
      <c r="G130" s="195"/>
      <c r="H130" s="195"/>
      <c r="I130" s="196"/>
      <c r="J130" s="196"/>
      <c r="K130" s="196"/>
      <c r="L130" s="197"/>
      <c r="M130" s="197"/>
      <c r="N130" s="198"/>
      <c r="O130" s="199"/>
      <c r="P130" s="200"/>
      <c r="Q130" s="201"/>
      <c r="R130" s="201"/>
      <c r="S130" s="866"/>
      <c r="T130" s="85"/>
      <c r="U130" s="784"/>
      <c r="V130" s="784"/>
      <c r="W130" s="231"/>
      <c r="X130" s="858"/>
      <c r="Y130" s="784"/>
      <c r="Z130" s="973"/>
      <c r="AA130" s="1"/>
      <c r="AB130" s="1"/>
      <c r="AC130" s="1"/>
      <c r="AD130" s="1"/>
      <c r="AE130" s="1"/>
      <c r="IQ130" s="86"/>
      <c r="IR130" s="86"/>
      <c r="IS130" s="86"/>
      <c r="IT130" s="86"/>
      <c r="IU130" s="86"/>
      <c r="IV130" s="86"/>
    </row>
    <row r="131" spans="1:256" s="73" customFormat="1">
      <c r="A131" s="994"/>
      <c r="B131" s="35" t="s">
        <v>162</v>
      </c>
      <c r="C131" s="111"/>
      <c r="D131" s="111"/>
      <c r="E131" s="111"/>
      <c r="F131" s="111"/>
      <c r="G131" s="111"/>
      <c r="H131" s="111"/>
      <c r="I131" s="112"/>
      <c r="J131" s="112"/>
      <c r="K131" s="112"/>
      <c r="L131" s="113"/>
      <c r="M131" s="113"/>
      <c r="N131" s="114"/>
      <c r="O131" s="207"/>
      <c r="P131" s="182"/>
      <c r="Q131" s="51"/>
      <c r="R131" s="51"/>
      <c r="S131" s="228"/>
      <c r="T131" s="255"/>
      <c r="U131" s="835"/>
      <c r="V131" s="835"/>
      <c r="W131" s="229"/>
      <c r="X131" s="854"/>
      <c r="Y131" s="835"/>
      <c r="Z131" s="982"/>
      <c r="AA131" s="1"/>
      <c r="AB131" s="1"/>
      <c r="AC131" s="1"/>
      <c r="AD131" s="1"/>
      <c r="AE131" s="1"/>
      <c r="IQ131" s="86"/>
      <c r="IR131" s="86"/>
      <c r="IS131" s="86"/>
      <c r="IT131" s="86"/>
      <c r="IU131" s="86"/>
      <c r="IV131" s="86"/>
    </row>
    <row r="132" spans="1:256" s="73" customFormat="1">
      <c r="A132" s="990"/>
      <c r="B132" s="35" t="s">
        <v>272</v>
      </c>
      <c r="C132" s="111">
        <v>0</v>
      </c>
      <c r="D132" s="111">
        <v>5</v>
      </c>
      <c r="E132" s="111">
        <v>120</v>
      </c>
      <c r="F132" s="111">
        <v>10</v>
      </c>
      <c r="G132" s="111">
        <v>175</v>
      </c>
      <c r="H132" s="45">
        <f>SUM(C132:G132)</f>
        <v>310</v>
      </c>
      <c r="I132" s="112"/>
      <c r="J132" s="112"/>
      <c r="K132" s="112"/>
      <c r="L132" s="113">
        <f>((C132*$C$5)+(D132*$D$5)+(E132*$E$5)+(F132*$F$5)+(G132*$G$5))</f>
        <v>26672.239999999998</v>
      </c>
      <c r="M132" s="113">
        <v>0</v>
      </c>
      <c r="N132" s="114">
        <v>0</v>
      </c>
      <c r="O132" s="802">
        <f>P10</f>
        <v>64</v>
      </c>
      <c r="P132" s="803">
        <f>(C132+D132+E132+F132+G132)*O132</f>
        <v>19840</v>
      </c>
      <c r="Q132" s="155">
        <f>M132*O132</f>
        <v>0</v>
      </c>
      <c r="R132" s="155">
        <f>N132*O132</f>
        <v>0</v>
      </c>
      <c r="S132" s="52">
        <f>(L132+M132+N132)*O132</f>
        <v>1707023.3599999999</v>
      </c>
      <c r="T132" s="841" t="s">
        <v>407</v>
      </c>
      <c r="U132" s="842" t="str">
        <f t="shared" ref="U132:V135" si="32">IF($T132="RP",O132,"")</f>
        <v/>
      </c>
      <c r="V132" s="842" t="str">
        <f t="shared" si="32"/>
        <v/>
      </c>
      <c r="W132" s="843" t="str">
        <f>IF($T132="RP",SUM(Q132:R132),"")</f>
        <v/>
      </c>
      <c r="X132" s="842">
        <f t="shared" ref="X132:Y135" si="33">IF($T132="RK",O132,"")</f>
        <v>64</v>
      </c>
      <c r="Y132" s="842">
        <f t="shared" si="33"/>
        <v>19840</v>
      </c>
      <c r="Z132" s="984">
        <f>IF($T132="Rk",SUM(Q132:R132),"")</f>
        <v>0</v>
      </c>
      <c r="AA132" s="1"/>
      <c r="AB132" s="1"/>
      <c r="AC132" s="1"/>
      <c r="AD132" s="1"/>
      <c r="AE132" s="1"/>
      <c r="IQ132" s="86"/>
      <c r="IR132" s="86"/>
      <c r="IS132" s="86"/>
      <c r="IT132" s="86"/>
      <c r="IU132" s="86"/>
      <c r="IV132" s="86"/>
    </row>
    <row r="133" spans="1:256" s="742" customFormat="1" ht="47.25" customHeight="1">
      <c r="A133" s="998"/>
      <c r="B133" s="774" t="s">
        <v>328</v>
      </c>
      <c r="C133" s="745">
        <v>0</v>
      </c>
      <c r="D133" s="745">
        <v>10</v>
      </c>
      <c r="E133" s="745">
        <v>60</v>
      </c>
      <c r="F133" s="745">
        <v>0</v>
      </c>
      <c r="G133" s="745">
        <v>20</v>
      </c>
      <c r="H133" s="746">
        <f>SUM(C133:G133)</f>
        <v>90</v>
      </c>
      <c r="I133" s="747"/>
      <c r="J133" s="747"/>
      <c r="K133" s="747"/>
      <c r="L133" s="748">
        <f>((C133*$C$5)+(D133*$D$5)+(E133*$E$5)+(F133*$F$5)+(G133*$G$5))</f>
        <v>7416.36</v>
      </c>
      <c r="M133" s="749">
        <v>6000</v>
      </c>
      <c r="N133" s="750">
        <v>500</v>
      </c>
      <c r="O133" s="751">
        <f>34/3</f>
        <v>11.333333333333334</v>
      </c>
      <c r="P133" s="752">
        <f>(C133+D133+E133+F133+G133)*O133</f>
        <v>1020</v>
      </c>
      <c r="Q133" s="711">
        <f>M133*O133</f>
        <v>68000</v>
      </c>
      <c r="R133" s="711">
        <f>N133*O133</f>
        <v>5666.666666666667</v>
      </c>
      <c r="S133" s="753">
        <f>(L133+M133+N133)*O133</f>
        <v>157718.74666666667</v>
      </c>
      <c r="T133" s="841" t="s">
        <v>408</v>
      </c>
      <c r="U133" s="842">
        <f t="shared" si="32"/>
        <v>11.333333333333334</v>
      </c>
      <c r="V133" s="842">
        <f t="shared" si="32"/>
        <v>1020</v>
      </c>
      <c r="W133" s="842">
        <f>IF($T133="RP",SUM(Q133:R133),"")</f>
        <v>73666.666666666672</v>
      </c>
      <c r="X133" s="842" t="str">
        <f t="shared" si="33"/>
        <v/>
      </c>
      <c r="Y133" s="842" t="str">
        <f t="shared" si="33"/>
        <v/>
      </c>
      <c r="Z133" s="984" t="str">
        <f>IF($T133="Rk",SUM(Q133:R133),"")</f>
        <v/>
      </c>
      <c r="AA133" s="687"/>
      <c r="AB133" s="687"/>
      <c r="AC133" s="687"/>
      <c r="AD133" s="687"/>
      <c r="AE133" s="687"/>
      <c r="AF133" s="754"/>
      <c r="AG133" s="754"/>
    </row>
    <row r="134" spans="1:256" s="742" customFormat="1">
      <c r="A134" s="999"/>
      <c r="B134" s="765" t="s">
        <v>279</v>
      </c>
      <c r="C134" s="766">
        <v>0</v>
      </c>
      <c r="D134" s="766">
        <v>0</v>
      </c>
      <c r="E134" s="766">
        <v>10</v>
      </c>
      <c r="F134" s="766">
        <v>1</v>
      </c>
      <c r="G134" s="766">
        <v>0</v>
      </c>
      <c r="H134" s="766">
        <f>SUM(C134:G134)</f>
        <v>11</v>
      </c>
      <c r="I134" s="767"/>
      <c r="J134" s="767"/>
      <c r="K134" s="767"/>
      <c r="L134" s="768">
        <f>((C134*$C$5)+(D134*$D$5)+(E134*$E$5)+(F134*$F$5)+(G134*$G$5))</f>
        <v>794.94799999999987</v>
      </c>
      <c r="M134" s="768">
        <v>0</v>
      </c>
      <c r="N134" s="769">
        <v>0</v>
      </c>
      <c r="O134" s="770">
        <f>SUM(P2:P7)*0.177</f>
        <v>11.327999999999999</v>
      </c>
      <c r="P134" s="771">
        <f>(C134+D134+E134+F134+G134)*O134</f>
        <v>124.60799999999999</v>
      </c>
      <c r="Q134" s="772">
        <f>M134*O134</f>
        <v>0</v>
      </c>
      <c r="R134" s="772">
        <f>N134*O134</f>
        <v>0</v>
      </c>
      <c r="S134" s="773">
        <f>(L134+M134+N134)*O134</f>
        <v>9005.1709439999977</v>
      </c>
      <c r="T134" s="841" t="s">
        <v>407</v>
      </c>
      <c r="U134" s="842" t="str">
        <f t="shared" si="32"/>
        <v/>
      </c>
      <c r="V134" s="842" t="str">
        <f t="shared" si="32"/>
        <v/>
      </c>
      <c r="W134" s="843" t="str">
        <f>IF($T134="RP",SUM(Q134:R134),"")</f>
        <v/>
      </c>
      <c r="X134" s="842">
        <f t="shared" si="33"/>
        <v>11.327999999999999</v>
      </c>
      <c r="Y134" s="842">
        <f t="shared" si="33"/>
        <v>124.60799999999999</v>
      </c>
      <c r="Z134" s="984">
        <f>IF($T134="Rk",SUM(Q134:R134),"")</f>
        <v>0</v>
      </c>
      <c r="AA134" s="687"/>
      <c r="AB134" s="687"/>
      <c r="AC134" s="687"/>
      <c r="AD134" s="687"/>
      <c r="AE134" s="687"/>
    </row>
    <row r="135" spans="1:256" s="742" customFormat="1" ht="12" thickBot="1">
      <c r="A135" s="1000"/>
      <c r="B135" s="759" t="s">
        <v>325</v>
      </c>
      <c r="C135" s="760">
        <v>0</v>
      </c>
      <c r="D135" s="760">
        <v>15</v>
      </c>
      <c r="E135" s="760">
        <v>30</v>
      </c>
      <c r="F135" s="760">
        <v>15</v>
      </c>
      <c r="G135" s="760">
        <v>10</v>
      </c>
      <c r="H135" s="766">
        <f>SUM(C135:G135)</f>
        <v>70</v>
      </c>
      <c r="I135" s="761"/>
      <c r="J135" s="761"/>
      <c r="K135" s="761"/>
      <c r="L135" s="768">
        <f>((C135*$C$5)+(D135*$D$5)+(E135*$E$5)+(F135*$F$5)+(G135*$G$5))</f>
        <v>5216.82</v>
      </c>
      <c r="M135" s="762">
        <v>18000</v>
      </c>
      <c r="N135" s="763">
        <v>2000</v>
      </c>
      <c r="O135" s="764">
        <f>3/3</f>
        <v>1</v>
      </c>
      <c r="P135" s="771">
        <f>(C135+D135+E135+F135+G135)*O135</f>
        <v>70</v>
      </c>
      <c r="Q135" s="772">
        <f>M135*O135</f>
        <v>18000</v>
      </c>
      <c r="R135" s="772">
        <f>N135*O135</f>
        <v>2000</v>
      </c>
      <c r="S135" s="773">
        <f>(L135+M135+N135)*O135</f>
        <v>25216.82</v>
      </c>
      <c r="T135" s="841" t="s">
        <v>407</v>
      </c>
      <c r="U135" s="842" t="str">
        <f t="shared" si="32"/>
        <v/>
      </c>
      <c r="V135" s="842" t="str">
        <f t="shared" si="32"/>
        <v/>
      </c>
      <c r="W135" s="843" t="str">
        <f>IF($T135="RP",SUM(Q135:R135),"")</f>
        <v/>
      </c>
      <c r="X135" s="842">
        <f t="shared" si="33"/>
        <v>1</v>
      </c>
      <c r="Y135" s="842">
        <f t="shared" si="33"/>
        <v>70</v>
      </c>
      <c r="Z135" s="984">
        <f>IF($T135="Rk",SUM(Q135:R135),"")</f>
        <v>20000</v>
      </c>
      <c r="AA135" s="687"/>
      <c r="AB135" s="687"/>
      <c r="AC135" s="687"/>
      <c r="AD135" s="687"/>
      <c r="AE135" s="687"/>
    </row>
    <row r="136" spans="1:256" s="73" customFormat="1" ht="12.75" thickTop="1" thickBot="1">
      <c r="A136" s="997" t="s">
        <v>29</v>
      </c>
      <c r="B136" s="54"/>
      <c r="C136" s="55">
        <f>SUM(C132:C134)</f>
        <v>0</v>
      </c>
      <c r="D136" s="55">
        <f t="shared" ref="D136:N136" si="34">SUM(D132:D134)</f>
        <v>15</v>
      </c>
      <c r="E136" s="55">
        <f t="shared" si="34"/>
        <v>190</v>
      </c>
      <c r="F136" s="55">
        <f t="shared" si="34"/>
        <v>11</v>
      </c>
      <c r="G136" s="55">
        <f t="shared" si="34"/>
        <v>195</v>
      </c>
      <c r="H136" s="55">
        <f t="shared" si="34"/>
        <v>411</v>
      </c>
      <c r="I136" s="230">
        <f t="shared" si="34"/>
        <v>0</v>
      </c>
      <c r="J136" s="230">
        <f t="shared" si="34"/>
        <v>0</v>
      </c>
      <c r="K136" s="230">
        <f t="shared" si="34"/>
        <v>0</v>
      </c>
      <c r="L136" s="57">
        <f t="shared" si="34"/>
        <v>34883.547999999995</v>
      </c>
      <c r="M136" s="57">
        <f t="shared" si="34"/>
        <v>6000</v>
      </c>
      <c r="N136" s="121">
        <f t="shared" si="34"/>
        <v>500</v>
      </c>
      <c r="O136" s="59"/>
      <c r="P136" s="122">
        <f>SUM(P132:P135)</f>
        <v>21054.608</v>
      </c>
      <c r="Q136" s="122">
        <f>SUM(Q132:Q135)</f>
        <v>86000</v>
      </c>
      <c r="R136" s="122">
        <f>SUM(R132:R135)</f>
        <v>7666.666666666667</v>
      </c>
      <c r="S136" s="122">
        <f>SUM(S132:S135)</f>
        <v>1898964.0976106664</v>
      </c>
      <c r="T136" s="122">
        <f t="shared" ref="T136:Z136" si="35">SUM(T132:T135)</f>
        <v>0</v>
      </c>
      <c r="U136" s="853">
        <f t="shared" si="35"/>
        <v>11.333333333333334</v>
      </c>
      <c r="V136" s="853">
        <f t="shared" si="35"/>
        <v>1020</v>
      </c>
      <c r="W136" s="122">
        <f t="shared" si="35"/>
        <v>73666.666666666672</v>
      </c>
      <c r="X136" s="853">
        <f t="shared" si="35"/>
        <v>76.328000000000003</v>
      </c>
      <c r="Y136" s="853">
        <f t="shared" si="35"/>
        <v>20034.608</v>
      </c>
      <c r="Z136" s="1001">
        <f t="shared" si="35"/>
        <v>20000</v>
      </c>
      <c r="AA136" s="1"/>
      <c r="AB136" s="1"/>
      <c r="AC136" s="1"/>
      <c r="AD136" s="1"/>
      <c r="AE136" s="1"/>
      <c r="IQ136" s="86"/>
      <c r="IR136" s="86"/>
      <c r="IS136" s="86"/>
      <c r="IT136" s="86"/>
      <c r="IU136" s="86"/>
      <c r="IV136" s="86"/>
    </row>
    <row r="137" spans="1:256" s="73" customFormat="1" ht="12.75" thickTop="1" thickBot="1">
      <c r="A137" s="997"/>
      <c r="B137" s="65"/>
      <c r="C137" s="66"/>
      <c r="D137" s="66"/>
      <c r="E137" s="66"/>
      <c r="F137" s="66"/>
      <c r="G137" s="66"/>
      <c r="H137" s="66"/>
      <c r="I137" s="236"/>
      <c r="J137" s="236"/>
      <c r="K137" s="236"/>
      <c r="L137" s="68"/>
      <c r="M137" s="68"/>
      <c r="N137" s="91"/>
      <c r="O137" s="70"/>
      <c r="P137" s="237"/>
      <c r="Q137" s="68"/>
      <c r="R137" s="68"/>
      <c r="S137" s="238"/>
      <c r="T137" s="85"/>
      <c r="U137" s="784"/>
      <c r="V137" s="784"/>
      <c r="X137" s="855"/>
      <c r="Y137" s="784"/>
      <c r="Z137" s="973"/>
      <c r="AA137" s="1"/>
      <c r="AB137" s="1"/>
      <c r="AC137" s="1"/>
      <c r="AD137" s="1"/>
      <c r="AE137" s="1"/>
      <c r="IQ137" s="86"/>
      <c r="IR137" s="86"/>
      <c r="IS137" s="86"/>
      <c r="IT137" s="86"/>
      <c r="IU137" s="86"/>
      <c r="IV137" s="86"/>
    </row>
    <row r="138" spans="1:256" s="73" customFormat="1" ht="12.75" thickTop="1" thickBot="1">
      <c r="A138" s="1002" t="s">
        <v>262</v>
      </c>
      <c r="B138" s="1003"/>
      <c r="C138" s="1004"/>
      <c r="D138" s="1004"/>
      <c r="E138" s="1004"/>
      <c r="F138" s="1004"/>
      <c r="G138" s="1004"/>
      <c r="H138" s="1005">
        <f>SUM(H45,H49,H62,H65,H70,H73,H77,H89,H107,H118,H124,H129,H136)</f>
        <v>1679.75</v>
      </c>
      <c r="I138" s="1006" t="e">
        <f>SUM(I22,#REF!,#REF!,I45,I49,I62,I118,I136)</f>
        <v>#REF!</v>
      </c>
      <c r="J138" s="1006" t="e">
        <f>SUM(J22,#REF!,#REF!,J45,J49,J62,J118,J136)</f>
        <v>#REF!</v>
      </c>
      <c r="K138" s="1006" t="e">
        <f>SUM(K22,#REF!,#REF!,K45,K49,K62,K118,K136)</f>
        <v>#REF!</v>
      </c>
      <c r="L138" s="1007">
        <f>SUM(L45,L49,L62,L65,L70,L73,L77,L89,L107,L118,L124,L129,L136)</f>
        <v>139391.2415</v>
      </c>
      <c r="M138" s="1007">
        <f>SUM(M45,M49,M62,M65,M70,M73,M77,M89,M107,M118,M124,M129,M136)</f>
        <v>11000</v>
      </c>
      <c r="N138" s="1007">
        <f>SUM(N45,N49,N62,N65,N70,N73,N77,N89,N107,N118,N124,N129,N136)</f>
        <v>75630</v>
      </c>
      <c r="O138" s="1008"/>
      <c r="P138" s="1009">
        <f t="shared" ref="P138:Z138" si="36">SUM(P45,P49,P62,P65,P70,P73,P77,P89,P107,P118,P124,P129,P136)</f>
        <v>39891.991333333332</v>
      </c>
      <c r="Q138" s="1007">
        <f t="shared" si="36"/>
        <v>86000</v>
      </c>
      <c r="R138" s="1007">
        <f t="shared" si="36"/>
        <v>9865.5</v>
      </c>
      <c r="S138" s="1007">
        <f t="shared" si="36"/>
        <v>3379542.2006773329</v>
      </c>
      <c r="T138" s="1007">
        <f t="shared" si="36"/>
        <v>0</v>
      </c>
      <c r="U138" s="1010">
        <f t="shared" si="36"/>
        <v>329.86666666666667</v>
      </c>
      <c r="V138" s="1010">
        <f t="shared" si="36"/>
        <v>6287.1</v>
      </c>
      <c r="W138" s="1007">
        <f t="shared" si="36"/>
        <v>75146.133333333331</v>
      </c>
      <c r="X138" s="1010">
        <f t="shared" si="36"/>
        <v>766.01133333333325</v>
      </c>
      <c r="Y138" s="1010">
        <f t="shared" si="36"/>
        <v>33604.891333333333</v>
      </c>
      <c r="Z138" s="1011">
        <f t="shared" si="36"/>
        <v>20719.366666666669</v>
      </c>
      <c r="AA138" s="1"/>
      <c r="AB138" s="1"/>
      <c r="AC138" s="1"/>
      <c r="AD138" s="1"/>
      <c r="AE138" s="1"/>
      <c r="IQ138" s="86"/>
      <c r="IR138" s="86"/>
      <c r="IS138" s="86"/>
      <c r="IT138" s="86"/>
      <c r="IU138" s="86"/>
      <c r="IV138" s="86"/>
    </row>
    <row r="139" spans="1:256" s="73" customFormat="1">
      <c r="A139" s="35"/>
      <c r="B139" s="35"/>
      <c r="C139" s="242"/>
      <c r="D139" s="242"/>
      <c r="E139" s="242"/>
      <c r="F139" s="242"/>
      <c r="G139" s="242"/>
      <c r="H139" s="242"/>
      <c r="I139" s="243"/>
      <c r="J139" s="243"/>
      <c r="K139" s="243"/>
      <c r="L139" s="244"/>
      <c r="M139" s="244"/>
      <c r="N139" s="244"/>
      <c r="O139" s="245"/>
      <c r="P139" s="245"/>
      <c r="Q139" s="246"/>
      <c r="R139" s="246"/>
      <c r="S139" s="244"/>
      <c r="T139" s="9"/>
      <c r="U139" s="783"/>
      <c r="V139" s="783"/>
      <c r="X139" s="855"/>
      <c r="Y139" s="783"/>
      <c r="Z139" s="1"/>
      <c r="AA139" s="1"/>
      <c r="AB139" s="1"/>
      <c r="AC139" s="1"/>
      <c r="AD139" s="1"/>
      <c r="AE139" s="1"/>
      <c r="IQ139" s="86"/>
      <c r="IR139" s="86"/>
      <c r="IS139" s="86"/>
      <c r="IT139" s="86"/>
      <c r="IU139" s="86"/>
      <c r="IV139" s="86"/>
    </row>
    <row r="140" spans="1:256" s="73" customFormat="1" ht="12" thickBot="1">
      <c r="A140" s="35"/>
      <c r="B140" s="35"/>
      <c r="C140" s="242"/>
      <c r="D140" s="242"/>
      <c r="E140" s="242"/>
      <c r="F140" s="242"/>
      <c r="G140" s="242"/>
      <c r="H140" s="242"/>
      <c r="I140" s="243"/>
      <c r="J140" s="243"/>
      <c r="K140" s="243"/>
      <c r="L140" s="244"/>
      <c r="M140" s="244"/>
      <c r="N140" s="244"/>
      <c r="O140" s="245"/>
      <c r="P140" s="245"/>
      <c r="Q140" s="246"/>
      <c r="R140" s="246"/>
      <c r="S140" s="244"/>
      <c r="T140" s="9"/>
      <c r="U140" s="783"/>
      <c r="V140" s="783"/>
      <c r="X140" s="855"/>
      <c r="Y140" s="783"/>
      <c r="Z140" s="1"/>
      <c r="AA140" s="1"/>
      <c r="AB140" s="1"/>
      <c r="AC140" s="1"/>
      <c r="AD140" s="1"/>
      <c r="AE140" s="1"/>
      <c r="IQ140" s="86"/>
      <c r="IR140" s="86"/>
      <c r="IS140" s="86"/>
      <c r="IT140" s="86"/>
      <c r="IU140" s="86"/>
      <c r="IV140" s="86"/>
    </row>
    <row r="141" spans="1:256" s="73" customFormat="1" ht="12" thickBot="1">
      <c r="A141" s="1012" t="s">
        <v>252</v>
      </c>
      <c r="B141" s="1013"/>
      <c r="C141" s="1056"/>
      <c r="D141" s="1056"/>
      <c r="E141" s="1056"/>
      <c r="F141" s="1056"/>
      <c r="G141" s="1056"/>
      <c r="H141" s="1056"/>
      <c r="I141" s="1057"/>
      <c r="J141" s="1057"/>
      <c r="K141" s="1057"/>
      <c r="L141" s="1058"/>
      <c r="M141" s="1059"/>
      <c r="N141" s="1058"/>
      <c r="O141" s="1060"/>
      <c r="P141" s="1061"/>
      <c r="Q141" s="1062"/>
      <c r="R141" s="1062"/>
      <c r="S141" s="1063"/>
      <c r="T141" s="1063"/>
      <c r="U141" s="1064"/>
      <c r="V141" s="1064"/>
      <c r="W141" s="1063"/>
      <c r="X141" s="1064"/>
      <c r="Y141" s="1064"/>
      <c r="Z141" s="1065"/>
      <c r="AA141" s="1"/>
      <c r="AB141" s="1"/>
      <c r="AC141" s="256"/>
      <c r="AD141" s="256"/>
      <c r="AE141" s="256"/>
      <c r="AF141" s="229"/>
      <c r="AG141" s="229"/>
      <c r="IQ141" s="86"/>
      <c r="IR141" s="86"/>
      <c r="IS141" s="86"/>
      <c r="IT141" s="86"/>
      <c r="IU141" s="86"/>
      <c r="IV141" s="86"/>
    </row>
    <row r="142" spans="1:256" s="73" customFormat="1" ht="12" thickTop="1">
      <c r="A142" s="980" t="s">
        <v>31</v>
      </c>
      <c r="B142" s="177"/>
      <c r="C142" s="257"/>
      <c r="D142" s="257"/>
      <c r="E142" s="257"/>
      <c r="F142" s="257"/>
      <c r="G142" s="257"/>
      <c r="H142" s="257"/>
      <c r="I142" s="258"/>
      <c r="J142" s="258"/>
      <c r="K142" s="258"/>
      <c r="L142" s="42"/>
      <c r="M142" s="259"/>
      <c r="N142" s="260"/>
      <c r="O142" s="261"/>
      <c r="P142" s="41"/>
      <c r="Q142" s="262"/>
      <c r="R142" s="262"/>
      <c r="S142" s="263"/>
      <c r="T142" s="85"/>
      <c r="U142" s="784"/>
      <c r="V142" s="784"/>
      <c r="X142" s="855"/>
      <c r="Y142" s="784"/>
      <c r="Z142" s="973"/>
      <c r="AA142" s="1"/>
      <c r="AB142" s="1"/>
      <c r="AC142" s="1"/>
      <c r="AD142" s="1"/>
      <c r="AE142" s="1"/>
      <c r="IQ142" s="86"/>
      <c r="IR142" s="86"/>
      <c r="IS142" s="86"/>
      <c r="IT142" s="86"/>
      <c r="IU142" s="86"/>
      <c r="IV142" s="86"/>
    </row>
    <row r="143" spans="1:256" s="73" customFormat="1">
      <c r="A143" s="981"/>
      <c r="B143" s="130" t="s">
        <v>74</v>
      </c>
      <c r="C143" s="131"/>
      <c r="D143" s="131"/>
      <c r="E143" s="131"/>
      <c r="F143" s="131"/>
      <c r="G143" s="131"/>
      <c r="H143" s="131"/>
      <c r="I143" s="132"/>
      <c r="J143" s="132"/>
      <c r="K143" s="132"/>
      <c r="L143" s="161"/>
      <c r="M143" s="264"/>
      <c r="N143" s="265"/>
      <c r="O143" s="266"/>
      <c r="P143" s="163"/>
      <c r="Q143" s="164"/>
      <c r="R143" s="164"/>
      <c r="S143" s="161"/>
      <c r="T143" s="85"/>
      <c r="U143" s="784"/>
      <c r="V143" s="784"/>
      <c r="X143" s="855"/>
      <c r="Y143" s="784"/>
      <c r="Z143" s="973"/>
      <c r="AA143" s="1"/>
      <c r="AB143" s="1"/>
      <c r="AC143" s="1"/>
      <c r="AD143" s="1"/>
      <c r="AE143" s="1"/>
      <c r="IQ143" s="86"/>
      <c r="IR143" s="86"/>
      <c r="IS143" s="86"/>
      <c r="IT143" s="86"/>
      <c r="IU143" s="86"/>
      <c r="IV143" s="86"/>
    </row>
    <row r="144" spans="1:256" s="73" customFormat="1">
      <c r="A144" s="972"/>
      <c r="B144" s="130" t="s">
        <v>75</v>
      </c>
      <c r="C144" s="131"/>
      <c r="D144" s="131"/>
      <c r="E144" s="131"/>
      <c r="F144" s="131"/>
      <c r="G144" s="131"/>
      <c r="H144" s="131"/>
      <c r="I144" s="132"/>
      <c r="J144" s="132"/>
      <c r="K144" s="132"/>
      <c r="L144" s="161"/>
      <c r="M144" s="264"/>
      <c r="N144" s="265"/>
      <c r="O144" s="266"/>
      <c r="P144" s="163"/>
      <c r="Q144" s="164"/>
      <c r="R144" s="164"/>
      <c r="S144" s="161"/>
      <c r="T144" s="85"/>
      <c r="U144" s="784"/>
      <c r="V144" s="784"/>
      <c r="X144" s="855"/>
      <c r="Y144" s="784"/>
      <c r="Z144" s="973"/>
      <c r="AA144" s="1"/>
      <c r="AB144" s="1"/>
      <c r="AC144" s="1"/>
      <c r="AD144" s="1"/>
      <c r="AE144" s="1"/>
      <c r="IQ144" s="86"/>
      <c r="IR144" s="86"/>
      <c r="IS144" s="86"/>
      <c r="IT144" s="86"/>
      <c r="IU144" s="86"/>
      <c r="IV144" s="86"/>
    </row>
    <row r="145" spans="1:256" s="73" customFormat="1">
      <c r="A145" s="990"/>
      <c r="B145" s="130" t="s">
        <v>76</v>
      </c>
      <c r="C145" s="131">
        <v>5</v>
      </c>
      <c r="D145" s="131">
        <v>20</v>
      </c>
      <c r="E145" s="131">
        <v>140</v>
      </c>
      <c r="F145" s="131">
        <v>50</v>
      </c>
      <c r="G145" s="131">
        <v>500</v>
      </c>
      <c r="H145" s="111">
        <f>SUM(C145:G145)</f>
        <v>715</v>
      </c>
      <c r="I145" s="132"/>
      <c r="J145" s="132"/>
      <c r="K145" s="132"/>
      <c r="L145" s="161">
        <f>((C145*$C$5)+(D145*$D$5)+(E145*$E$5)+(F145*$F$5)+(G145*$G$5))</f>
        <v>62720.49</v>
      </c>
      <c r="M145" s="264">
        <v>0</v>
      </c>
      <c r="N145" s="265">
        <v>60000</v>
      </c>
      <c r="O145" s="804">
        <f>P10</f>
        <v>64</v>
      </c>
      <c r="P145" s="182">
        <f>(C145+D145+E145+F145+G145)*O145</f>
        <v>45760</v>
      </c>
      <c r="Q145" s="51">
        <f>M145*O145</f>
        <v>0</v>
      </c>
      <c r="R145" s="51">
        <f>N145*O145</f>
        <v>3840000</v>
      </c>
      <c r="S145" s="183">
        <f>(L145+M145+N145)*O145</f>
        <v>7854111.3599999994</v>
      </c>
      <c r="T145" s="841" t="s">
        <v>408</v>
      </c>
      <c r="U145" s="842">
        <f t="shared" ref="U145:V148" si="37">IF($T145="RP",O145,"")</f>
        <v>64</v>
      </c>
      <c r="V145" s="842">
        <f t="shared" si="37"/>
        <v>45760</v>
      </c>
      <c r="W145" s="842">
        <f>IF($T145="RP",SUM(Q145:R145),"")</f>
        <v>3840000</v>
      </c>
      <c r="X145" s="842" t="str">
        <f t="shared" ref="X145:Y148" si="38">IF($T145="RK",O145,"")</f>
        <v/>
      </c>
      <c r="Y145" s="842" t="str">
        <f t="shared" si="38"/>
        <v/>
      </c>
      <c r="Z145" s="984" t="str">
        <f>IF($T145="Rk",SUM(Q145:R145),"")</f>
        <v/>
      </c>
      <c r="AA145" s="1"/>
      <c r="AB145" s="1"/>
      <c r="AC145" s="1"/>
      <c r="AD145" s="1"/>
      <c r="AE145" s="1"/>
      <c r="IQ145" s="86"/>
      <c r="IR145" s="86"/>
      <c r="IS145" s="86"/>
      <c r="IT145" s="86"/>
      <c r="IU145" s="86"/>
      <c r="IV145" s="86"/>
    </row>
    <row r="146" spans="1:256" s="73" customFormat="1">
      <c r="A146" s="991"/>
      <c r="B146" s="184" t="s">
        <v>301</v>
      </c>
      <c r="C146" s="159">
        <v>0</v>
      </c>
      <c r="D146" s="159">
        <v>5</v>
      </c>
      <c r="E146" s="159">
        <v>30</v>
      </c>
      <c r="F146" s="159">
        <v>5</v>
      </c>
      <c r="G146" s="159">
        <v>40</v>
      </c>
      <c r="H146" s="185">
        <f>SUM(C146:G146)</f>
        <v>80</v>
      </c>
      <c r="I146" s="160"/>
      <c r="J146" s="160"/>
      <c r="K146" s="160"/>
      <c r="L146" s="187">
        <f>((C146*$C$5)+(D146*$D$5)+(E146*$E$5)+(F146*$F$5)+(G146*$G$5))</f>
        <v>6760.18</v>
      </c>
      <c r="M146" s="267">
        <v>0</v>
      </c>
      <c r="N146" s="268">
        <v>5000</v>
      </c>
      <c r="O146" s="800">
        <v>14.666666666666666</v>
      </c>
      <c r="P146" s="269">
        <f>(C146+D146+E146+F146+G146)*O146</f>
        <v>1173.3333333333333</v>
      </c>
      <c r="Q146" s="190">
        <f>M146*O146</f>
        <v>0</v>
      </c>
      <c r="R146" s="270">
        <f>N146*O146</f>
        <v>73333.333333333328</v>
      </c>
      <c r="S146" s="187">
        <f>(L146+M146+N146)*O146</f>
        <v>172482.63999999998</v>
      </c>
      <c r="T146" s="841" t="s">
        <v>408</v>
      </c>
      <c r="U146" s="842">
        <f t="shared" si="37"/>
        <v>14.666666666666666</v>
      </c>
      <c r="V146" s="842">
        <f t="shared" si="37"/>
        <v>1173.3333333333333</v>
      </c>
      <c r="W146" s="842">
        <f>IF($T146="RP",SUM(Q146:R146),"")</f>
        <v>73333.333333333328</v>
      </c>
      <c r="X146" s="842" t="str">
        <f t="shared" si="38"/>
        <v/>
      </c>
      <c r="Y146" s="842" t="str">
        <f t="shared" si="38"/>
        <v/>
      </c>
      <c r="Z146" s="984" t="str">
        <f>IF($T146="Rk",SUM(Q146:R146),"")</f>
        <v/>
      </c>
      <c r="AA146" s="1"/>
      <c r="AB146" s="1"/>
      <c r="AC146" s="1"/>
      <c r="AD146" s="1"/>
      <c r="AE146" s="1"/>
      <c r="IQ146" s="86"/>
      <c r="IR146" s="86"/>
      <c r="IS146" s="86"/>
      <c r="IT146" s="86"/>
      <c r="IU146" s="86"/>
      <c r="IV146" s="86"/>
    </row>
    <row r="147" spans="1:256" s="73" customFormat="1">
      <c r="A147" s="991"/>
      <c r="B147" s="184" t="s">
        <v>182</v>
      </c>
      <c r="C147" s="159">
        <v>0</v>
      </c>
      <c r="D147" s="159">
        <v>1</v>
      </c>
      <c r="E147" s="159">
        <v>1</v>
      </c>
      <c r="F147" s="159">
        <v>1</v>
      </c>
      <c r="G147" s="159">
        <v>0</v>
      </c>
      <c r="H147" s="185">
        <f>SUM(C147:G147)</f>
        <v>3</v>
      </c>
      <c r="I147" s="160"/>
      <c r="J147" s="160"/>
      <c r="K147" s="160"/>
      <c r="L147" s="187">
        <f>((C147*$C$5)+(D147*$D$5)+(E147*$E$5)+(F147*$F$5)+(G147*$G$5))</f>
        <v>208.25</v>
      </c>
      <c r="M147" s="267">
        <v>0</v>
      </c>
      <c r="N147" s="268">
        <v>8</v>
      </c>
      <c r="O147" s="800">
        <f>P10*0.2</f>
        <v>12.8</v>
      </c>
      <c r="P147" s="271">
        <f>(C147+D147+E147+F147+G147)*O147</f>
        <v>38.400000000000006</v>
      </c>
      <c r="Q147" s="272">
        <f>M147*O147</f>
        <v>0</v>
      </c>
      <c r="R147" s="272">
        <f>N147*O147</f>
        <v>102.4</v>
      </c>
      <c r="S147" s="273">
        <f>(L147+M147+N147)*O147</f>
        <v>2768</v>
      </c>
      <c r="T147" s="841" t="s">
        <v>408</v>
      </c>
      <c r="U147" s="842">
        <f t="shared" si="37"/>
        <v>12.8</v>
      </c>
      <c r="V147" s="842">
        <f t="shared" si="37"/>
        <v>38.400000000000006</v>
      </c>
      <c r="W147" s="842">
        <f>IF($T147="RP",SUM(Q147:R147),"")</f>
        <v>102.4</v>
      </c>
      <c r="X147" s="842" t="str">
        <f t="shared" si="38"/>
        <v/>
      </c>
      <c r="Y147" s="842" t="str">
        <f t="shared" si="38"/>
        <v/>
      </c>
      <c r="Z147" s="984" t="str">
        <f>IF($T147="Rk",SUM(Q147:R147),"")</f>
        <v/>
      </c>
      <c r="AA147" s="1"/>
      <c r="AB147" s="1"/>
      <c r="AC147" s="192"/>
      <c r="AD147" s="192"/>
      <c r="AE147" s="192"/>
      <c r="AF147" s="193"/>
      <c r="AG147" s="193"/>
      <c r="IQ147" s="86"/>
      <c r="IR147" s="86"/>
      <c r="IS147" s="86"/>
      <c r="IT147" s="86"/>
      <c r="IU147" s="86"/>
      <c r="IV147" s="86"/>
    </row>
    <row r="148" spans="1:256" s="73" customFormat="1" ht="12" thickBot="1">
      <c r="A148" s="1066"/>
      <c r="B148" s="130" t="s">
        <v>183</v>
      </c>
      <c r="C148" s="131">
        <v>0</v>
      </c>
      <c r="D148" s="131">
        <v>1</v>
      </c>
      <c r="E148" s="131">
        <v>1</v>
      </c>
      <c r="F148" s="131">
        <v>1</v>
      </c>
      <c r="G148" s="131">
        <v>0</v>
      </c>
      <c r="H148" s="45">
        <f>SUM(C148:G148)</f>
        <v>3</v>
      </c>
      <c r="I148" s="132"/>
      <c r="J148" s="132"/>
      <c r="K148" s="132"/>
      <c r="L148" s="161">
        <f>((C148*$C$5)+(D148*$D$5)+(E148*$E$5)+(F148*$F$5)+(G148*$G$5))</f>
        <v>208.25</v>
      </c>
      <c r="M148" s="264">
        <v>0</v>
      </c>
      <c r="N148" s="265">
        <v>8</v>
      </c>
      <c r="O148" s="266">
        <f>P10*0.1</f>
        <v>6.4</v>
      </c>
      <c r="P148" s="182">
        <f>(C148+D148+E148+F148+G148)*O148</f>
        <v>19.200000000000003</v>
      </c>
      <c r="Q148" s="164">
        <f>M148*O148</f>
        <v>0</v>
      </c>
      <c r="R148" s="164">
        <f>N148*O148</f>
        <v>51.2</v>
      </c>
      <c r="S148" s="183">
        <f>(L148+M148+N148)*O148</f>
        <v>1384</v>
      </c>
      <c r="T148" s="841" t="s">
        <v>408</v>
      </c>
      <c r="U148" s="842">
        <f t="shared" si="37"/>
        <v>6.4</v>
      </c>
      <c r="V148" s="842">
        <f t="shared" si="37"/>
        <v>19.200000000000003</v>
      </c>
      <c r="W148" s="842">
        <f>IF($T148="RP",SUM(Q148:R148),"")</f>
        <v>51.2</v>
      </c>
      <c r="X148" s="842" t="str">
        <f t="shared" si="38"/>
        <v/>
      </c>
      <c r="Y148" s="842" t="str">
        <f t="shared" si="38"/>
        <v/>
      </c>
      <c r="Z148" s="984" t="str">
        <f>IF($T148="Rk",SUM(Q148:R148),"")</f>
        <v/>
      </c>
      <c r="AA148" s="1"/>
      <c r="AB148" s="1"/>
      <c r="AC148" s="1"/>
      <c r="AD148" s="1"/>
      <c r="AE148" s="1"/>
      <c r="IQ148" s="86"/>
      <c r="IR148" s="86"/>
      <c r="IS148" s="86"/>
      <c r="IT148" s="86"/>
      <c r="IU148" s="86"/>
      <c r="IV148" s="86"/>
    </row>
    <row r="149" spans="1:256" s="73" customFormat="1" ht="12.75" thickTop="1" thickBot="1">
      <c r="A149" s="987" t="s">
        <v>29</v>
      </c>
      <c r="B149" s="172"/>
      <c r="C149" s="173">
        <f>C145+C146+C147+C148</f>
        <v>5</v>
      </c>
      <c r="D149" s="173">
        <f t="shared" ref="D149:N149" si="39">D145+D146+D147+D148</f>
        <v>27</v>
      </c>
      <c r="E149" s="173">
        <f t="shared" si="39"/>
        <v>172</v>
      </c>
      <c r="F149" s="173">
        <f t="shared" si="39"/>
        <v>57</v>
      </c>
      <c r="G149" s="173">
        <f t="shared" si="39"/>
        <v>540</v>
      </c>
      <c r="H149" s="173">
        <f t="shared" si="39"/>
        <v>801</v>
      </c>
      <c r="I149" s="275">
        <f t="shared" si="39"/>
        <v>0</v>
      </c>
      <c r="J149" s="275">
        <f t="shared" si="39"/>
        <v>0</v>
      </c>
      <c r="K149" s="275">
        <f t="shared" si="39"/>
        <v>0</v>
      </c>
      <c r="L149" s="72">
        <f t="shared" si="39"/>
        <v>69897.17</v>
      </c>
      <c r="M149" s="72">
        <f t="shared" si="39"/>
        <v>0</v>
      </c>
      <c r="N149" s="69">
        <f t="shared" si="39"/>
        <v>65016</v>
      </c>
      <c r="O149" s="275"/>
      <c r="P149" s="176">
        <f>P145+P146+P147+P148</f>
        <v>46990.933333333334</v>
      </c>
      <c r="Q149" s="72">
        <f>Q145+Q146+Q147+Q148</f>
        <v>0</v>
      </c>
      <c r="R149" s="72">
        <f>R145+R146+R147+R148</f>
        <v>3913486.9333333336</v>
      </c>
      <c r="S149" s="72">
        <f>S145+S146+S147+S148</f>
        <v>8030745.9999999991</v>
      </c>
      <c r="T149" s="72"/>
      <c r="U149" s="850">
        <f t="shared" ref="U149:Z149" si="40">SUM(U145:U148)</f>
        <v>97.866666666666674</v>
      </c>
      <c r="V149" s="850">
        <f t="shared" si="40"/>
        <v>46990.933333333334</v>
      </c>
      <c r="W149" s="72">
        <f t="shared" si="40"/>
        <v>3913486.9333333336</v>
      </c>
      <c r="X149" s="850">
        <f t="shared" si="40"/>
        <v>0</v>
      </c>
      <c r="Y149" s="850">
        <f t="shared" si="40"/>
        <v>0</v>
      </c>
      <c r="Z149" s="988">
        <f t="shared" si="40"/>
        <v>0</v>
      </c>
      <c r="AA149" s="1"/>
      <c r="AB149" s="1"/>
      <c r="AC149" s="1"/>
      <c r="AD149" s="1"/>
      <c r="AE149" s="1"/>
      <c r="IQ149" s="86"/>
      <c r="IR149" s="86"/>
      <c r="IS149" s="86"/>
      <c r="IT149" s="86"/>
      <c r="IU149" s="86"/>
      <c r="IV149" s="86"/>
    </row>
    <row r="150" spans="1:256" s="73" customFormat="1" ht="12" thickTop="1">
      <c r="A150" s="980" t="s">
        <v>32</v>
      </c>
      <c r="B150" s="177"/>
      <c r="C150" s="257"/>
      <c r="D150" s="257"/>
      <c r="E150" s="257"/>
      <c r="F150" s="257"/>
      <c r="G150" s="257"/>
      <c r="H150" s="257"/>
      <c r="I150" s="258"/>
      <c r="J150" s="258"/>
      <c r="K150" s="258"/>
      <c r="L150" s="42"/>
      <c r="M150" s="259"/>
      <c r="N150" s="260"/>
      <c r="O150" s="261"/>
      <c r="P150" s="41"/>
      <c r="Q150" s="262"/>
      <c r="R150" s="262"/>
      <c r="S150" s="263"/>
      <c r="T150" s="85"/>
      <c r="U150" s="784"/>
      <c r="V150" s="784"/>
      <c r="X150" s="855"/>
      <c r="Y150" s="784"/>
      <c r="Z150" s="973"/>
      <c r="AA150" s="1"/>
      <c r="AB150" s="1"/>
      <c r="AC150" s="1"/>
      <c r="AD150" s="1"/>
      <c r="AE150" s="1"/>
      <c r="IQ150" s="86"/>
      <c r="IR150" s="86"/>
      <c r="IS150" s="86"/>
      <c r="IT150" s="86"/>
      <c r="IU150" s="86"/>
      <c r="IV150" s="86"/>
    </row>
    <row r="151" spans="1:256" s="73" customFormat="1">
      <c r="A151" s="981"/>
      <c r="B151" s="130" t="s">
        <v>77</v>
      </c>
      <c r="C151" s="276"/>
      <c r="D151" s="276"/>
      <c r="E151" s="276"/>
      <c r="F151" s="276"/>
      <c r="G151" s="276"/>
      <c r="H151" s="276"/>
      <c r="I151" s="277"/>
      <c r="J151" s="277"/>
      <c r="K151" s="277"/>
      <c r="L151" s="278"/>
      <c r="M151" s="279"/>
      <c r="N151" s="280"/>
      <c r="O151" s="281"/>
      <c r="P151" s="282"/>
      <c r="Q151" s="283"/>
      <c r="R151" s="283"/>
      <c r="S151" s="278"/>
      <c r="T151" s="85"/>
      <c r="U151" s="784"/>
      <c r="V151" s="784"/>
      <c r="X151" s="855"/>
      <c r="Y151" s="784"/>
      <c r="Z151" s="973"/>
      <c r="AA151" s="1"/>
      <c r="AB151" s="1"/>
      <c r="AC151" s="1"/>
      <c r="AD151" s="1"/>
      <c r="AE151" s="1"/>
      <c r="IQ151" s="86"/>
      <c r="IR151" s="86"/>
      <c r="IS151" s="86"/>
      <c r="IT151" s="86"/>
      <c r="IU151" s="86"/>
      <c r="IV151" s="86"/>
    </row>
    <row r="152" spans="1:256" s="73" customFormat="1">
      <c r="A152" s="990"/>
      <c r="B152" s="130" t="s">
        <v>75</v>
      </c>
      <c r="C152" s="276"/>
      <c r="D152" s="276"/>
      <c r="E152" s="276"/>
      <c r="F152" s="276"/>
      <c r="G152" s="276"/>
      <c r="H152" s="276"/>
      <c r="I152" s="277"/>
      <c r="J152" s="277"/>
      <c r="K152" s="277"/>
      <c r="L152" s="278"/>
      <c r="M152" s="279"/>
      <c r="N152" s="280"/>
      <c r="O152" s="281"/>
      <c r="P152" s="282"/>
      <c r="Q152" s="283"/>
      <c r="R152" s="283"/>
      <c r="S152" s="278"/>
      <c r="T152" s="85"/>
      <c r="U152" s="784"/>
      <c r="V152" s="784"/>
      <c r="X152" s="855"/>
      <c r="Y152" s="784"/>
      <c r="Z152" s="973"/>
      <c r="AA152" s="1"/>
      <c r="AB152" s="1"/>
      <c r="AC152" s="1"/>
      <c r="AD152" s="1"/>
      <c r="AE152" s="1"/>
      <c r="IQ152" s="86"/>
      <c r="IR152" s="86"/>
      <c r="IS152" s="86"/>
      <c r="IT152" s="86"/>
      <c r="IU152" s="86"/>
      <c r="IV152" s="86"/>
    </row>
    <row r="153" spans="1:256" s="73" customFormat="1" ht="12" thickBot="1">
      <c r="A153" s="1066"/>
      <c r="B153" s="165" t="s">
        <v>76</v>
      </c>
      <c r="C153" s="167">
        <v>0</v>
      </c>
      <c r="D153" s="167">
        <v>5</v>
      </c>
      <c r="E153" s="167">
        <v>20</v>
      </c>
      <c r="F153" s="167">
        <v>8</v>
      </c>
      <c r="G153" s="167">
        <v>50</v>
      </c>
      <c r="H153" s="45">
        <f>SUM(C153:G153)</f>
        <v>83</v>
      </c>
      <c r="I153" s="168"/>
      <c r="J153" s="168"/>
      <c r="K153" s="168"/>
      <c r="L153" s="142">
        <f>((C153*$C$5)+(D153*$D$5)+(E153*$E$5)+(F153*$F$5)+(G153*$G$5))</f>
        <v>7068.5439999999999</v>
      </c>
      <c r="M153" s="284">
        <v>0</v>
      </c>
      <c r="N153" s="285">
        <v>6000</v>
      </c>
      <c r="O153" s="755">
        <f>P5*10%</f>
        <v>2.5</v>
      </c>
      <c r="P153" s="170">
        <f>(C153+D153+E153+F153+G153)*O153</f>
        <v>207.5</v>
      </c>
      <c r="Q153" s="171">
        <f>M153*O153</f>
        <v>0</v>
      </c>
      <c r="R153" s="171">
        <f>N153*O153</f>
        <v>15000</v>
      </c>
      <c r="S153" s="142">
        <f>(L153+M153+N153)*O153</f>
        <v>32671.360000000001</v>
      </c>
      <c r="T153" s="841" t="s">
        <v>408</v>
      </c>
      <c r="U153" s="842">
        <f>IF($T153="RP",O153,"")</f>
        <v>2.5</v>
      </c>
      <c r="V153" s="842">
        <f>IF($T153="RP",P153,"")</f>
        <v>207.5</v>
      </c>
      <c r="W153" s="842">
        <f>IF($T153="RP",SUM(Q153:R153),"")</f>
        <v>15000</v>
      </c>
      <c r="X153" s="842" t="str">
        <f>IF($T153="RK",O153,"")</f>
        <v/>
      </c>
      <c r="Y153" s="842" t="str">
        <f>IF($T153="RK",P153,"")</f>
        <v/>
      </c>
      <c r="Z153" s="984" t="str">
        <f>IF($T153="Rk",SUM(Q153:R153),"")</f>
        <v/>
      </c>
      <c r="AA153" s="1"/>
      <c r="AB153" s="1"/>
      <c r="AC153" s="1"/>
      <c r="AD153" s="1"/>
      <c r="AE153" s="1"/>
      <c r="IQ153" s="86"/>
      <c r="IR153" s="86"/>
      <c r="IS153" s="86"/>
      <c r="IT153" s="86"/>
      <c r="IU153" s="86"/>
      <c r="IV153" s="86"/>
    </row>
    <row r="154" spans="1:256" s="73" customFormat="1" ht="12.75" thickTop="1" thickBot="1">
      <c r="A154" s="987" t="s">
        <v>29</v>
      </c>
      <c r="B154" s="172"/>
      <c r="C154" s="173">
        <f t="shared" ref="C154:S154" si="41">C153</f>
        <v>0</v>
      </c>
      <c r="D154" s="173">
        <f t="shared" si="41"/>
        <v>5</v>
      </c>
      <c r="E154" s="173">
        <f t="shared" si="41"/>
        <v>20</v>
      </c>
      <c r="F154" s="173">
        <f t="shared" si="41"/>
        <v>8</v>
      </c>
      <c r="G154" s="173">
        <f t="shared" si="41"/>
        <v>50</v>
      </c>
      <c r="H154" s="173">
        <f t="shared" si="41"/>
        <v>83</v>
      </c>
      <c r="I154" s="275">
        <f t="shared" si="41"/>
        <v>0</v>
      </c>
      <c r="J154" s="275">
        <f t="shared" si="41"/>
        <v>0</v>
      </c>
      <c r="K154" s="275">
        <f t="shared" si="41"/>
        <v>0</v>
      </c>
      <c r="L154" s="72">
        <f t="shared" si="41"/>
        <v>7068.5439999999999</v>
      </c>
      <c r="M154" s="72">
        <f t="shared" si="41"/>
        <v>0</v>
      </c>
      <c r="N154" s="69">
        <f t="shared" si="41"/>
        <v>6000</v>
      </c>
      <c r="O154" s="287"/>
      <c r="P154" s="287">
        <f t="shared" si="41"/>
        <v>207.5</v>
      </c>
      <c r="Q154" s="288">
        <f t="shared" si="41"/>
        <v>0</v>
      </c>
      <c r="R154" s="288">
        <f t="shared" si="41"/>
        <v>15000</v>
      </c>
      <c r="S154" s="288">
        <f t="shared" si="41"/>
        <v>32671.360000000001</v>
      </c>
      <c r="T154" s="288"/>
      <c r="U154" s="862">
        <f t="shared" ref="U154:Z154" si="42">U153</f>
        <v>2.5</v>
      </c>
      <c r="V154" s="862">
        <f t="shared" si="42"/>
        <v>207.5</v>
      </c>
      <c r="W154" s="288">
        <f t="shared" si="42"/>
        <v>15000</v>
      </c>
      <c r="X154" s="862" t="str">
        <f t="shared" si="42"/>
        <v/>
      </c>
      <c r="Y154" s="862" t="str">
        <f t="shared" si="42"/>
        <v/>
      </c>
      <c r="Z154" s="1067" t="str">
        <f t="shared" si="42"/>
        <v/>
      </c>
      <c r="AA154" s="1"/>
      <c r="AB154" s="1"/>
      <c r="AC154" s="1"/>
      <c r="AD154" s="1"/>
      <c r="AE154" s="1"/>
      <c r="IQ154" s="86"/>
      <c r="IR154" s="86"/>
      <c r="IS154" s="86"/>
      <c r="IT154" s="86"/>
      <c r="IU154" s="86"/>
      <c r="IV154" s="86"/>
    </row>
    <row r="155" spans="1:256" s="73" customFormat="1" ht="12" thickTop="1">
      <c r="A155" s="980" t="s">
        <v>78</v>
      </c>
      <c r="B155" s="177"/>
      <c r="C155" s="257"/>
      <c r="D155" s="257"/>
      <c r="E155" s="257"/>
      <c r="F155" s="257"/>
      <c r="G155" s="257"/>
      <c r="H155" s="257"/>
      <c r="I155" s="258"/>
      <c r="J155" s="258"/>
      <c r="K155" s="258"/>
      <c r="L155" s="42"/>
      <c r="M155" s="259"/>
      <c r="N155" s="260"/>
      <c r="O155" s="261"/>
      <c r="P155" s="41"/>
      <c r="Q155" s="262"/>
      <c r="R155" s="262"/>
      <c r="S155" s="263"/>
      <c r="T155" s="838"/>
      <c r="U155" s="839"/>
      <c r="V155" s="839"/>
      <c r="W155" s="885"/>
      <c r="X155" s="886"/>
      <c r="Y155" s="839"/>
      <c r="Z155" s="971"/>
      <c r="AA155" s="1"/>
      <c r="AB155" s="1"/>
      <c r="AC155" s="1"/>
      <c r="AD155" s="1"/>
      <c r="AE155" s="1"/>
      <c r="IQ155" s="86"/>
      <c r="IR155" s="86"/>
      <c r="IS155" s="86"/>
      <c r="IT155" s="86"/>
      <c r="IU155" s="86"/>
      <c r="IV155" s="86"/>
    </row>
    <row r="156" spans="1:256" s="73" customFormat="1">
      <c r="A156" s="981"/>
      <c r="B156" s="130" t="s">
        <v>79</v>
      </c>
      <c r="C156" s="276"/>
      <c r="D156" s="276"/>
      <c r="E156" s="276"/>
      <c r="F156" s="276"/>
      <c r="G156" s="276"/>
      <c r="H156" s="276"/>
      <c r="I156" s="277"/>
      <c r="J156" s="277"/>
      <c r="K156" s="277"/>
      <c r="L156" s="278"/>
      <c r="M156" s="279"/>
      <c r="N156" s="280"/>
      <c r="O156" s="281"/>
      <c r="P156" s="282"/>
      <c r="Q156" s="283"/>
      <c r="R156" s="283"/>
      <c r="S156" s="278"/>
      <c r="T156" s="85"/>
      <c r="U156" s="784"/>
      <c r="V156" s="784"/>
      <c r="X156" s="855"/>
      <c r="Y156" s="784"/>
      <c r="Z156" s="973"/>
      <c r="AA156" s="1"/>
      <c r="AB156" s="1"/>
      <c r="AC156" s="1"/>
      <c r="AD156" s="1"/>
      <c r="AE156" s="1"/>
      <c r="IQ156" s="86"/>
      <c r="IR156" s="86"/>
      <c r="IS156" s="86"/>
      <c r="IT156" s="86"/>
      <c r="IU156" s="86"/>
      <c r="IV156" s="86"/>
    </row>
    <row r="157" spans="1:256" s="73" customFormat="1">
      <c r="A157" s="990"/>
      <c r="B157" s="130" t="s">
        <v>80</v>
      </c>
      <c r="C157" s="276"/>
      <c r="D157" s="276"/>
      <c r="E157" s="276"/>
      <c r="F157" s="276"/>
      <c r="G157" s="276"/>
      <c r="H157" s="276"/>
      <c r="I157" s="277"/>
      <c r="J157" s="277"/>
      <c r="K157" s="277"/>
      <c r="L157" s="278"/>
      <c r="M157" s="279"/>
      <c r="N157" s="280"/>
      <c r="O157" s="281"/>
      <c r="P157" s="282"/>
      <c r="Q157" s="283"/>
      <c r="R157" s="283"/>
      <c r="S157" s="278"/>
      <c r="T157" s="85"/>
      <c r="U157" s="784"/>
      <c r="V157" s="784"/>
      <c r="X157" s="855"/>
      <c r="Y157" s="784"/>
      <c r="Z157" s="973"/>
      <c r="AA157" s="1"/>
      <c r="AB157" s="1"/>
      <c r="AC157" s="1"/>
      <c r="AD157" s="1"/>
      <c r="AE157" s="1"/>
      <c r="IQ157" s="86"/>
      <c r="IR157" s="86"/>
      <c r="IS157" s="86"/>
      <c r="IT157" s="86"/>
      <c r="IU157" s="86"/>
      <c r="IV157" s="86"/>
    </row>
    <row r="158" spans="1:256" s="73" customFormat="1" ht="12" thickBot="1">
      <c r="A158" s="1066"/>
      <c r="B158" s="165" t="s">
        <v>34</v>
      </c>
      <c r="C158" s="167">
        <v>0</v>
      </c>
      <c r="D158" s="167">
        <v>1</v>
      </c>
      <c r="E158" s="167">
        <v>8</v>
      </c>
      <c r="F158" s="167">
        <v>2</v>
      </c>
      <c r="G158" s="167">
        <v>0</v>
      </c>
      <c r="H158" s="167">
        <f>SUM(C158:G158)</f>
        <v>11</v>
      </c>
      <c r="I158" s="168"/>
      <c r="J158" s="168"/>
      <c r="K158" s="168"/>
      <c r="L158" s="142">
        <f>((C158*$C$5)+(D158*$D$5)+(E158*$E$5)+(F158*$F$5)+(G158*$G$5))</f>
        <v>775.76799999999992</v>
      </c>
      <c r="M158" s="284">
        <v>0</v>
      </c>
      <c r="N158" s="285">
        <v>8</v>
      </c>
      <c r="O158" s="286">
        <f>0.1*P10</f>
        <v>6.4</v>
      </c>
      <c r="P158" s="170">
        <f>(C158+D158+E158+F158+G158)*O158</f>
        <v>70.400000000000006</v>
      </c>
      <c r="Q158" s="171">
        <f>M158*O158</f>
        <v>0</v>
      </c>
      <c r="R158" s="171">
        <f>N158*O158</f>
        <v>51.2</v>
      </c>
      <c r="S158" s="142">
        <f>(L158+M158+N158)*O158</f>
        <v>5016.1152000000002</v>
      </c>
      <c r="T158" s="841" t="s">
        <v>408</v>
      </c>
      <c r="U158" s="842">
        <f>IF($T158="RP",O158,"")</f>
        <v>6.4</v>
      </c>
      <c r="V158" s="842">
        <f>IF($T158="RP",P158,"")</f>
        <v>70.400000000000006</v>
      </c>
      <c r="W158" s="842">
        <f>IF($T158="RP",SUM(Q158:R158),"")</f>
        <v>51.2</v>
      </c>
      <c r="X158" s="842" t="str">
        <f>IF($T158="RK",O158,"")</f>
        <v/>
      </c>
      <c r="Y158" s="842" t="str">
        <f>IF($T158="RK",P158,"")</f>
        <v/>
      </c>
      <c r="Z158" s="984" t="str">
        <f>IF($T158="Rk",SUM(Q158:R158),"")</f>
        <v/>
      </c>
      <c r="AA158" s="1"/>
      <c r="AB158" s="1"/>
      <c r="AC158" s="1"/>
      <c r="AD158" s="1"/>
      <c r="AE158" s="1"/>
      <c r="IQ158" s="86"/>
      <c r="IR158" s="86"/>
      <c r="IS158" s="86"/>
      <c r="IT158" s="86"/>
      <c r="IU158" s="86"/>
      <c r="IV158" s="86"/>
    </row>
    <row r="159" spans="1:256" s="73" customFormat="1" ht="12.75" thickTop="1" thickBot="1">
      <c r="A159" s="987" t="s">
        <v>29</v>
      </c>
      <c r="B159" s="172"/>
      <c r="C159" s="173">
        <f t="shared" ref="C159:S159" si="43">C158</f>
        <v>0</v>
      </c>
      <c r="D159" s="173">
        <f t="shared" si="43"/>
        <v>1</v>
      </c>
      <c r="E159" s="173">
        <f t="shared" si="43"/>
        <v>8</v>
      </c>
      <c r="F159" s="173">
        <f t="shared" si="43"/>
        <v>2</v>
      </c>
      <c r="G159" s="173">
        <f t="shared" si="43"/>
        <v>0</v>
      </c>
      <c r="H159" s="173">
        <f t="shared" si="43"/>
        <v>11</v>
      </c>
      <c r="I159" s="275">
        <f t="shared" si="43"/>
        <v>0</v>
      </c>
      <c r="J159" s="275">
        <f t="shared" si="43"/>
        <v>0</v>
      </c>
      <c r="K159" s="275">
        <f t="shared" si="43"/>
        <v>0</v>
      </c>
      <c r="L159" s="72">
        <f t="shared" si="43"/>
        <v>775.76799999999992</v>
      </c>
      <c r="M159" s="72">
        <f t="shared" si="43"/>
        <v>0</v>
      </c>
      <c r="N159" s="69">
        <f t="shared" si="43"/>
        <v>8</v>
      </c>
      <c r="O159" s="287"/>
      <c r="P159" s="287">
        <f t="shared" si="43"/>
        <v>70.400000000000006</v>
      </c>
      <c r="Q159" s="288">
        <f t="shared" si="43"/>
        <v>0</v>
      </c>
      <c r="R159" s="288">
        <f t="shared" si="43"/>
        <v>51.2</v>
      </c>
      <c r="S159" s="288">
        <f t="shared" si="43"/>
        <v>5016.1152000000002</v>
      </c>
      <c r="T159" s="288" t="str">
        <f t="shared" ref="T159:Z159" si="44">T158</f>
        <v>RP</v>
      </c>
      <c r="U159" s="862">
        <f t="shared" si="44"/>
        <v>6.4</v>
      </c>
      <c r="V159" s="862">
        <f t="shared" si="44"/>
        <v>70.400000000000006</v>
      </c>
      <c r="W159" s="288">
        <f t="shared" si="44"/>
        <v>51.2</v>
      </c>
      <c r="X159" s="862" t="str">
        <f t="shared" si="44"/>
        <v/>
      </c>
      <c r="Y159" s="862" t="str">
        <f t="shared" si="44"/>
        <v/>
      </c>
      <c r="Z159" s="1067" t="str">
        <f t="shared" si="44"/>
        <v/>
      </c>
      <c r="AA159" s="1"/>
      <c r="AB159" s="1"/>
      <c r="AC159" s="1"/>
      <c r="AD159" s="1"/>
      <c r="AE159" s="1"/>
      <c r="IQ159" s="86"/>
      <c r="IR159" s="86"/>
      <c r="IS159" s="86"/>
      <c r="IT159" s="86"/>
      <c r="IU159" s="86"/>
      <c r="IV159" s="86"/>
    </row>
    <row r="160" spans="1:256" s="73" customFormat="1" ht="12" thickTop="1">
      <c r="A160" s="980" t="s">
        <v>348</v>
      </c>
      <c r="B160" s="177"/>
      <c r="C160" s="257"/>
      <c r="D160" s="257"/>
      <c r="E160" s="257"/>
      <c r="F160" s="257"/>
      <c r="G160" s="257"/>
      <c r="H160" s="257"/>
      <c r="I160" s="258"/>
      <c r="J160" s="258"/>
      <c r="K160" s="258"/>
      <c r="L160" s="42"/>
      <c r="M160" s="259"/>
      <c r="N160" s="260"/>
      <c r="O160" s="261"/>
      <c r="P160" s="41"/>
      <c r="Q160" s="262"/>
      <c r="R160" s="262"/>
      <c r="S160" s="263"/>
      <c r="T160" s="85"/>
      <c r="U160" s="784"/>
      <c r="V160" s="784"/>
      <c r="X160" s="855"/>
      <c r="Y160" s="784"/>
      <c r="Z160" s="973"/>
      <c r="AA160" s="1"/>
      <c r="AB160" s="1"/>
      <c r="AC160" s="1"/>
      <c r="AD160" s="1"/>
      <c r="AE160" s="1"/>
      <c r="IQ160" s="86"/>
      <c r="IR160" s="86"/>
      <c r="IS160" s="86"/>
      <c r="IT160" s="86"/>
      <c r="IU160" s="86"/>
      <c r="IV160" s="86"/>
    </row>
    <row r="161" spans="1:256" s="73" customFormat="1">
      <c r="A161" s="981"/>
      <c r="B161" s="130" t="s">
        <v>81</v>
      </c>
      <c r="C161" s="276"/>
      <c r="D161" s="276"/>
      <c r="E161" s="276"/>
      <c r="F161" s="276"/>
      <c r="G161" s="276"/>
      <c r="H161" s="276"/>
      <c r="I161" s="277"/>
      <c r="J161" s="277"/>
      <c r="K161" s="277"/>
      <c r="L161" s="278"/>
      <c r="M161" s="279"/>
      <c r="N161" s="280"/>
      <c r="O161" s="281"/>
      <c r="P161" s="282"/>
      <c r="Q161" s="283"/>
      <c r="R161" s="283"/>
      <c r="S161" s="278"/>
      <c r="T161" s="85"/>
      <c r="U161" s="784"/>
      <c r="V161" s="784"/>
      <c r="X161" s="855"/>
      <c r="Y161" s="784"/>
      <c r="Z161" s="973"/>
      <c r="AA161" s="1"/>
      <c r="AB161" s="1"/>
      <c r="AC161" s="1"/>
      <c r="AD161" s="1"/>
      <c r="AE161" s="1"/>
      <c r="IQ161" s="86"/>
      <c r="IR161" s="86"/>
      <c r="IS161" s="86"/>
      <c r="IT161" s="86"/>
      <c r="IU161" s="86"/>
      <c r="IV161" s="86"/>
    </row>
    <row r="162" spans="1:256" s="73" customFormat="1">
      <c r="A162" s="980"/>
      <c r="B162" s="165" t="s">
        <v>82</v>
      </c>
      <c r="C162" s="167">
        <v>0</v>
      </c>
      <c r="D162" s="167">
        <v>1</v>
      </c>
      <c r="E162" s="167">
        <v>4</v>
      </c>
      <c r="F162" s="167">
        <v>1</v>
      </c>
      <c r="G162" s="167">
        <v>0</v>
      </c>
      <c r="H162" s="167">
        <f>SUM(C162:G162)</f>
        <v>6</v>
      </c>
      <c r="I162" s="168"/>
      <c r="J162" s="168"/>
      <c r="K162" s="168"/>
      <c r="L162" s="142">
        <f>((C162*$C$5)+(D162*$D$5)+(E162*$E$5)+(F162*$F$5)+(G162*$G$5))</f>
        <v>435.67999999999995</v>
      </c>
      <c r="M162" s="284">
        <v>0</v>
      </c>
      <c r="N162" s="285">
        <v>1</v>
      </c>
      <c r="O162" s="755">
        <f>P10*10%</f>
        <v>6.4</v>
      </c>
      <c r="P162" s="170">
        <f>(C162+D162+E162+F162+G162)*O162</f>
        <v>38.400000000000006</v>
      </c>
      <c r="Q162" s="171">
        <f>M162*O162</f>
        <v>0</v>
      </c>
      <c r="R162" s="171">
        <f>N162*O162</f>
        <v>6.4</v>
      </c>
      <c r="S162" s="142">
        <f>(L162+M162+N162)*O162</f>
        <v>2794.752</v>
      </c>
      <c r="T162" s="841" t="s">
        <v>408</v>
      </c>
      <c r="U162" s="842">
        <f>IF($T162="RP",O162,"")</f>
        <v>6.4</v>
      </c>
      <c r="V162" s="842">
        <f>IF($T162="RP",P162,"")</f>
        <v>38.400000000000006</v>
      </c>
      <c r="W162" s="842">
        <f>IF($T162="RP",SUM(Q162:R162),"")</f>
        <v>6.4</v>
      </c>
      <c r="X162" s="842" t="str">
        <f>IF($T162="RK",O162,"")</f>
        <v/>
      </c>
      <c r="Y162" s="842" t="str">
        <f>IF($T162="RK",P162,"")</f>
        <v/>
      </c>
      <c r="Z162" s="984" t="str">
        <f>IF($T162="Rk",SUM(Q162:R162),"")</f>
        <v/>
      </c>
      <c r="AA162" s="1"/>
      <c r="AB162" s="1"/>
      <c r="AC162" s="1"/>
      <c r="AD162" s="1"/>
      <c r="AE162" s="1"/>
      <c r="IQ162" s="86"/>
      <c r="IR162" s="86"/>
      <c r="IS162" s="86"/>
      <c r="IT162" s="86"/>
      <c r="IU162" s="86"/>
      <c r="IV162" s="86"/>
    </row>
    <row r="163" spans="1:256" s="73" customFormat="1">
      <c r="A163" s="972"/>
      <c r="B163" s="130" t="s">
        <v>83</v>
      </c>
      <c r="C163" s="131"/>
      <c r="D163" s="131"/>
      <c r="E163" s="131"/>
      <c r="F163" s="131"/>
      <c r="G163" s="131"/>
      <c r="H163" s="131"/>
      <c r="I163" s="132"/>
      <c r="J163" s="132"/>
      <c r="K163" s="132"/>
      <c r="L163" s="161"/>
      <c r="M163" s="264"/>
      <c r="N163" s="265"/>
      <c r="O163" s="266"/>
      <c r="P163" s="163"/>
      <c r="Q163" s="164"/>
      <c r="R163" s="164"/>
      <c r="S163" s="161"/>
      <c r="T163" s="85"/>
      <c r="U163" s="784"/>
      <c r="V163" s="784"/>
      <c r="X163" s="855"/>
      <c r="Y163" s="784"/>
      <c r="Z163" s="973"/>
      <c r="AA163" s="1"/>
      <c r="AB163" s="1"/>
      <c r="AC163" s="1"/>
      <c r="AD163" s="1"/>
      <c r="AE163" s="1"/>
      <c r="IQ163" s="86"/>
      <c r="IR163" s="86"/>
      <c r="IS163" s="86"/>
      <c r="IT163" s="86"/>
      <c r="IU163" s="86"/>
      <c r="IV163" s="86"/>
    </row>
    <row r="164" spans="1:256" s="73" customFormat="1">
      <c r="A164" s="980"/>
      <c r="B164" s="165" t="s">
        <v>84</v>
      </c>
      <c r="C164" s="167">
        <v>0</v>
      </c>
      <c r="D164" s="167">
        <v>1</v>
      </c>
      <c r="E164" s="167">
        <v>4</v>
      </c>
      <c r="F164" s="167">
        <v>1</v>
      </c>
      <c r="G164" s="167">
        <v>0</v>
      </c>
      <c r="H164" s="167">
        <f>SUM(C164:G164)</f>
        <v>6</v>
      </c>
      <c r="I164" s="168"/>
      <c r="J164" s="168"/>
      <c r="K164" s="168"/>
      <c r="L164" s="142">
        <f>((C164*$C$5)+(D164*$D$5)+(E164*$E$5)+(F164*$F$5)+(G164*$G$5))</f>
        <v>435.67999999999995</v>
      </c>
      <c r="M164" s="284">
        <v>0</v>
      </c>
      <c r="N164" s="285">
        <v>1</v>
      </c>
      <c r="O164" s="286">
        <f>0.1*P10</f>
        <v>6.4</v>
      </c>
      <c r="P164" s="170">
        <f>(C164+D164+E164+F164+G164)*O164</f>
        <v>38.400000000000006</v>
      </c>
      <c r="Q164" s="171">
        <f>M164*O164</f>
        <v>0</v>
      </c>
      <c r="R164" s="171">
        <f>N164*O164</f>
        <v>6.4</v>
      </c>
      <c r="S164" s="142">
        <f>(L164+M164+N164)*O164</f>
        <v>2794.752</v>
      </c>
      <c r="T164" s="841" t="s">
        <v>408</v>
      </c>
      <c r="U164" s="842">
        <f>IF($T164="RP",O164,"")</f>
        <v>6.4</v>
      </c>
      <c r="V164" s="842">
        <f>IF($T164="RP",P164,"")</f>
        <v>38.400000000000006</v>
      </c>
      <c r="W164" s="842">
        <f>IF($T164="RP",SUM(Q164:R164),"")</f>
        <v>6.4</v>
      </c>
      <c r="X164" s="842" t="str">
        <f>IF($T164="RK",O164,"")</f>
        <v/>
      </c>
      <c r="Y164" s="842" t="str">
        <f>IF($T164="RK",P164,"")</f>
        <v/>
      </c>
      <c r="Z164" s="984" t="str">
        <f>IF($T164="Rk",SUM(Q164:R164),"")</f>
        <v/>
      </c>
      <c r="AA164" s="1"/>
      <c r="AB164" s="1"/>
      <c r="AC164" s="1"/>
      <c r="AD164" s="1"/>
      <c r="AE164" s="1"/>
      <c r="IQ164" s="86"/>
      <c r="IR164" s="86"/>
      <c r="IS164" s="86"/>
      <c r="IT164" s="86"/>
      <c r="IU164" s="86"/>
      <c r="IV164" s="86"/>
    </row>
    <row r="165" spans="1:256" s="73" customFormat="1">
      <c r="A165" s="990"/>
      <c r="B165" s="130" t="s">
        <v>85</v>
      </c>
      <c r="C165" s="131"/>
      <c r="D165" s="131"/>
      <c r="E165" s="131"/>
      <c r="F165" s="131"/>
      <c r="G165" s="131"/>
      <c r="H165" s="131"/>
      <c r="I165" s="132"/>
      <c r="J165" s="132"/>
      <c r="K165" s="132"/>
      <c r="L165" s="161"/>
      <c r="M165" s="264"/>
      <c r="N165" s="265"/>
      <c r="O165" s="266"/>
      <c r="P165" s="163"/>
      <c r="Q165" s="164"/>
      <c r="R165" s="164"/>
      <c r="S165" s="161"/>
      <c r="T165" s="85"/>
      <c r="U165" s="784"/>
      <c r="V165" s="784"/>
      <c r="X165" s="855"/>
      <c r="Y165" s="784"/>
      <c r="Z165" s="973"/>
      <c r="AA165" s="1"/>
      <c r="AB165" s="1"/>
      <c r="AC165" s="1"/>
      <c r="AD165" s="1"/>
      <c r="AE165" s="1"/>
      <c r="IQ165" s="86"/>
      <c r="IR165" s="86"/>
      <c r="IS165" s="86"/>
      <c r="IT165" s="86"/>
      <c r="IU165" s="86"/>
      <c r="IV165" s="86"/>
    </row>
    <row r="166" spans="1:256" s="73" customFormat="1">
      <c r="A166" s="980"/>
      <c r="B166" s="165" t="s">
        <v>86</v>
      </c>
      <c r="C166" s="167">
        <v>2</v>
      </c>
      <c r="D166" s="167">
        <v>5</v>
      </c>
      <c r="E166" s="167">
        <v>30</v>
      </c>
      <c r="F166" s="167">
        <v>12</v>
      </c>
      <c r="G166" s="167">
        <v>80</v>
      </c>
      <c r="H166" s="167">
        <f>SUM(C166:G166)</f>
        <v>129</v>
      </c>
      <c r="I166" s="168"/>
      <c r="J166" s="168"/>
      <c r="K166" s="168"/>
      <c r="L166" s="142">
        <f>((C166*$C$5)+(D166*$D$5)+(E166*$E$5)+(F166*$F$5)+(G166*$G$5))</f>
        <v>11064.536</v>
      </c>
      <c r="M166" s="284">
        <v>0</v>
      </c>
      <c r="N166" s="285">
        <v>8</v>
      </c>
      <c r="O166" s="755">
        <f>P8*25%</f>
        <v>8</v>
      </c>
      <c r="P166" s="170">
        <f>(C166+D166+E166+F166+G166)*O166</f>
        <v>1032</v>
      </c>
      <c r="Q166" s="171">
        <f>M166*O166</f>
        <v>0</v>
      </c>
      <c r="R166" s="171">
        <f>N166*O166</f>
        <v>64</v>
      </c>
      <c r="S166" s="142">
        <f>(L166+M166+N166)*O166</f>
        <v>88580.288</v>
      </c>
      <c r="T166" s="841" t="s">
        <v>408</v>
      </c>
      <c r="U166" s="842">
        <f>IF($T166="RP",O166,"")</f>
        <v>8</v>
      </c>
      <c r="V166" s="842">
        <f>IF($T166="RP",P166,"")</f>
        <v>1032</v>
      </c>
      <c r="W166" s="842">
        <f>IF($T166="RP",SUM(Q166:R166),"")</f>
        <v>64</v>
      </c>
      <c r="X166" s="842" t="str">
        <f>IF($T166="RK",O166,"")</f>
        <v/>
      </c>
      <c r="Y166" s="842" t="str">
        <f>IF($T166="RK",P166,"")</f>
        <v/>
      </c>
      <c r="Z166" s="984" t="str">
        <f>IF($T166="Rk",SUM(Q166:R166),"")</f>
        <v/>
      </c>
      <c r="AA166" s="1"/>
      <c r="AB166" s="1"/>
      <c r="AC166" s="1"/>
      <c r="AD166" s="1"/>
      <c r="AE166" s="1"/>
      <c r="IQ166" s="86"/>
      <c r="IR166" s="86"/>
      <c r="IS166" s="86"/>
      <c r="IT166" s="86"/>
      <c r="IU166" s="86"/>
      <c r="IV166" s="86"/>
    </row>
    <row r="167" spans="1:256" s="73" customFormat="1">
      <c r="A167" s="972"/>
      <c r="B167" s="130" t="s">
        <v>87</v>
      </c>
      <c r="C167" s="131"/>
      <c r="D167" s="131"/>
      <c r="E167" s="131"/>
      <c r="F167" s="131"/>
      <c r="G167" s="131"/>
      <c r="H167" s="131"/>
      <c r="I167" s="132"/>
      <c r="J167" s="132"/>
      <c r="K167" s="132"/>
      <c r="L167" s="161"/>
      <c r="M167" s="264"/>
      <c r="N167" s="265"/>
      <c r="O167" s="266"/>
      <c r="P167" s="163"/>
      <c r="Q167" s="164"/>
      <c r="R167" s="164"/>
      <c r="S167" s="161"/>
      <c r="T167" s="85"/>
      <c r="U167" s="784"/>
      <c r="V167" s="784"/>
      <c r="X167" s="855"/>
      <c r="Y167" s="784"/>
      <c r="Z167" s="973"/>
      <c r="AA167" s="1"/>
      <c r="AB167" s="1"/>
      <c r="AC167" s="1"/>
      <c r="AD167" s="1"/>
      <c r="AE167" s="1"/>
      <c r="IQ167" s="86"/>
      <c r="IR167" s="86"/>
      <c r="IS167" s="86"/>
      <c r="IT167" s="86"/>
      <c r="IU167" s="86"/>
      <c r="IV167" s="86"/>
    </row>
    <row r="168" spans="1:256" s="73" customFormat="1">
      <c r="A168" s="980"/>
      <c r="B168" s="165" t="s">
        <v>48</v>
      </c>
      <c r="C168" s="167">
        <v>0</v>
      </c>
      <c r="D168" s="167">
        <v>2</v>
      </c>
      <c r="E168" s="167">
        <v>10</v>
      </c>
      <c r="F168" s="167">
        <v>10</v>
      </c>
      <c r="G168" s="167">
        <v>20</v>
      </c>
      <c r="H168" s="167">
        <f>SUM(C168:G168)</f>
        <v>42</v>
      </c>
      <c r="I168" s="168"/>
      <c r="J168" s="168"/>
      <c r="K168" s="168"/>
      <c r="L168" s="142">
        <f>((C168*$C$5)+(D168*$D$5)+(E168*$E$5)+(F168*$F$5)+(G168*$G$5))</f>
        <v>3229.6039999999998</v>
      </c>
      <c r="M168" s="284">
        <v>0</v>
      </c>
      <c r="N168" s="285">
        <v>8</v>
      </c>
      <c r="O168" s="286">
        <f>P8*50%</f>
        <v>16</v>
      </c>
      <c r="P168" s="170">
        <f>(C168+D168+E168+F168+G168)*O168</f>
        <v>672</v>
      </c>
      <c r="Q168" s="171">
        <f>M168*O168</f>
        <v>0</v>
      </c>
      <c r="R168" s="171">
        <f>N168*O168</f>
        <v>128</v>
      </c>
      <c r="S168" s="142">
        <f>(L168+M168+N168)*O168</f>
        <v>51801.663999999997</v>
      </c>
      <c r="T168" s="841" t="s">
        <v>408</v>
      </c>
      <c r="U168" s="842">
        <f>IF($T168="RP",O168,"")</f>
        <v>16</v>
      </c>
      <c r="V168" s="842">
        <f>IF($T168="RP",P168,"")</f>
        <v>672</v>
      </c>
      <c r="W168" s="842">
        <f>IF($T168="RP",SUM(Q168:R168),"")</f>
        <v>128</v>
      </c>
      <c r="X168" s="842" t="str">
        <f>IF($T168="RK",O168,"")</f>
        <v/>
      </c>
      <c r="Y168" s="842" t="str">
        <f>IF($T168="RK",P168,"")</f>
        <v/>
      </c>
      <c r="Z168" s="984" t="str">
        <f>IF($T168="Rk",SUM(Q168:R168),"")</f>
        <v/>
      </c>
      <c r="AA168" s="1"/>
      <c r="AB168" s="1"/>
      <c r="AC168" s="1"/>
      <c r="AD168" s="1"/>
      <c r="AE168" s="1"/>
      <c r="IQ168" s="86"/>
      <c r="IR168" s="86"/>
      <c r="IS168" s="86"/>
      <c r="IT168" s="86"/>
      <c r="IU168" s="86"/>
      <c r="IV168" s="86"/>
    </row>
    <row r="169" spans="1:256" s="73" customFormat="1">
      <c r="A169" s="972"/>
      <c r="B169" s="130" t="s">
        <v>88</v>
      </c>
      <c r="C169" s="131"/>
      <c r="D169" s="131"/>
      <c r="E169" s="131"/>
      <c r="F169" s="131"/>
      <c r="G169" s="131"/>
      <c r="H169" s="131"/>
      <c r="I169" s="132"/>
      <c r="J169" s="132"/>
      <c r="K169" s="132"/>
      <c r="L169" s="161"/>
      <c r="M169" s="264"/>
      <c r="N169" s="265"/>
      <c r="O169" s="266"/>
      <c r="P169" s="163"/>
      <c r="Q169" s="164"/>
      <c r="R169" s="164"/>
      <c r="S169" s="161"/>
      <c r="T169" s="85"/>
      <c r="U169" s="784"/>
      <c r="V169" s="784"/>
      <c r="X169" s="855"/>
      <c r="Y169" s="784"/>
      <c r="Z169" s="973"/>
      <c r="AA169" s="1"/>
      <c r="AB169" s="1"/>
      <c r="AC169" s="1"/>
      <c r="AD169" s="1"/>
      <c r="AE169" s="1"/>
      <c r="IQ169" s="86"/>
      <c r="IR169" s="86"/>
      <c r="IS169" s="86"/>
      <c r="IT169" s="86"/>
      <c r="IU169" s="86"/>
      <c r="IV169" s="86"/>
    </row>
    <row r="170" spans="1:256" s="73" customFormat="1" ht="12" thickBot="1">
      <c r="A170" s="980"/>
      <c r="B170" s="165" t="s">
        <v>89</v>
      </c>
      <c r="C170" s="167">
        <v>0</v>
      </c>
      <c r="D170" s="167">
        <v>2</v>
      </c>
      <c r="E170" s="167">
        <v>20</v>
      </c>
      <c r="F170" s="167">
        <v>1</v>
      </c>
      <c r="G170" s="167">
        <v>0</v>
      </c>
      <c r="H170" s="167">
        <f>SUM(C170:G170)</f>
        <v>23</v>
      </c>
      <c r="I170" s="168"/>
      <c r="J170" s="168"/>
      <c r="K170" s="168"/>
      <c r="L170" s="142">
        <f>((C170*$C$5)+(D170*$D$5)+(E170*$E$5)+(F170*$F$5)+(G170*$G$5))</f>
        <v>1744.2319999999997</v>
      </c>
      <c r="M170" s="284">
        <v>0</v>
      </c>
      <c r="N170" s="285">
        <v>8</v>
      </c>
      <c r="O170" s="286">
        <f>0.25*O162</f>
        <v>1.6</v>
      </c>
      <c r="P170" s="170">
        <f>(C170+D170+E170+F170+G170)*O170</f>
        <v>36.800000000000004</v>
      </c>
      <c r="Q170" s="171">
        <f>M170*O170</f>
        <v>0</v>
      </c>
      <c r="R170" s="171">
        <f>N170*O170</f>
        <v>12.8</v>
      </c>
      <c r="S170" s="142">
        <f>(L170+M170+N170)*O170</f>
        <v>2803.5711999999999</v>
      </c>
      <c r="T170" s="841" t="s">
        <v>408</v>
      </c>
      <c r="U170" s="842">
        <f>IF($T170="RP",O170,"")</f>
        <v>1.6</v>
      </c>
      <c r="V170" s="842">
        <f>IF($T170="RP",P170,"")</f>
        <v>36.800000000000004</v>
      </c>
      <c r="W170" s="842">
        <f>IF($T170="RP",SUM(Q170:R170),"")</f>
        <v>12.8</v>
      </c>
      <c r="X170" s="842" t="str">
        <f>IF($T170="RK",O170,"")</f>
        <v/>
      </c>
      <c r="Y170" s="842" t="str">
        <f>IF($T170="RK",P170,"")</f>
        <v/>
      </c>
      <c r="Z170" s="984" t="str">
        <f>IF($T170="Rk",SUM(Q170:R170),"")</f>
        <v/>
      </c>
      <c r="AA170" s="1"/>
      <c r="AB170" s="1"/>
      <c r="AC170" s="1"/>
      <c r="AD170" s="1"/>
      <c r="AE170" s="1"/>
      <c r="IQ170" s="86"/>
      <c r="IR170" s="86"/>
      <c r="IS170" s="86"/>
      <c r="IT170" s="86"/>
      <c r="IU170" s="86"/>
      <c r="IV170" s="86"/>
    </row>
    <row r="171" spans="1:256" s="73" customFormat="1" ht="12.75" thickTop="1" thickBot="1">
      <c r="A171" s="1068" t="s">
        <v>29</v>
      </c>
      <c r="B171" s="172"/>
      <c r="C171" s="173">
        <f>SUM(C162:C170)</f>
        <v>2</v>
      </c>
      <c r="D171" s="173">
        <f t="shared" ref="D171:N171" si="45">SUM(D162:D170)</f>
        <v>11</v>
      </c>
      <c r="E171" s="173">
        <f t="shared" si="45"/>
        <v>68</v>
      </c>
      <c r="F171" s="173">
        <f t="shared" si="45"/>
        <v>25</v>
      </c>
      <c r="G171" s="173">
        <f t="shared" si="45"/>
        <v>100</v>
      </c>
      <c r="H171" s="173">
        <f t="shared" si="45"/>
        <v>206</v>
      </c>
      <c r="I171" s="174">
        <f t="shared" si="45"/>
        <v>0</v>
      </c>
      <c r="J171" s="174">
        <f t="shared" si="45"/>
        <v>0</v>
      </c>
      <c r="K171" s="174">
        <f t="shared" si="45"/>
        <v>0</v>
      </c>
      <c r="L171" s="72">
        <f t="shared" si="45"/>
        <v>16909.732</v>
      </c>
      <c r="M171" s="289">
        <f t="shared" si="45"/>
        <v>0</v>
      </c>
      <c r="N171" s="69">
        <f t="shared" si="45"/>
        <v>26</v>
      </c>
      <c r="O171" s="287"/>
      <c r="P171" s="178">
        <f>SUM(P162:P170)</f>
        <v>1817.6</v>
      </c>
      <c r="Q171" s="179">
        <f>SUM(Q162:Q170)</f>
        <v>0</v>
      </c>
      <c r="R171" s="179">
        <f>SUM(R162:R170)</f>
        <v>217.60000000000002</v>
      </c>
      <c r="S171" s="179">
        <f>SUM(S162:S170)</f>
        <v>148775.02720000001</v>
      </c>
      <c r="T171" s="179">
        <f t="shared" ref="T171:Z171" si="46">SUM(T162:T170)</f>
        <v>0</v>
      </c>
      <c r="U171" s="863">
        <f t="shared" si="46"/>
        <v>38.4</v>
      </c>
      <c r="V171" s="863">
        <f t="shared" si="46"/>
        <v>1817.6</v>
      </c>
      <c r="W171" s="179">
        <f t="shared" si="46"/>
        <v>217.60000000000002</v>
      </c>
      <c r="X171" s="863">
        <f t="shared" si="46"/>
        <v>0</v>
      </c>
      <c r="Y171" s="863">
        <f t="shared" si="46"/>
        <v>0</v>
      </c>
      <c r="Z171" s="1069">
        <f t="shared" si="46"/>
        <v>0</v>
      </c>
      <c r="AA171" s="1"/>
      <c r="AB171" s="1"/>
      <c r="AC171" s="1"/>
      <c r="AD171" s="1"/>
      <c r="AE171" s="1"/>
      <c r="IQ171" s="86"/>
      <c r="IR171" s="86"/>
      <c r="IS171" s="86"/>
      <c r="IT171" s="86"/>
      <c r="IU171" s="86"/>
      <c r="IV171" s="86"/>
    </row>
    <row r="172" spans="1:256" s="73" customFormat="1" ht="12" thickTop="1">
      <c r="A172" s="993" t="s">
        <v>94</v>
      </c>
      <c r="B172" s="194"/>
      <c r="C172" s="290"/>
      <c r="D172" s="290"/>
      <c r="E172" s="290"/>
      <c r="F172" s="290"/>
      <c r="G172" s="290"/>
      <c r="H172" s="290"/>
      <c r="I172" s="291"/>
      <c r="J172" s="291"/>
      <c r="K172" s="291"/>
      <c r="L172" s="292"/>
      <c r="M172" s="292"/>
      <c r="N172" s="293"/>
      <c r="O172" s="294"/>
      <c r="P172" s="295"/>
      <c r="Q172" s="296"/>
      <c r="R172" s="296"/>
      <c r="S172" s="297"/>
      <c r="T172" s="85"/>
      <c r="U172" s="784"/>
      <c r="V172" s="784"/>
      <c r="X172" s="855"/>
      <c r="Y172" s="784"/>
      <c r="Z172" s="973"/>
      <c r="AA172" s="1"/>
      <c r="AB172" s="1"/>
      <c r="AC172" s="1"/>
      <c r="AD172" s="1"/>
      <c r="AE172" s="1"/>
      <c r="IQ172" s="86"/>
      <c r="IR172" s="86"/>
      <c r="IS172" s="86"/>
      <c r="IT172" s="86"/>
      <c r="IU172" s="86"/>
      <c r="IV172" s="86"/>
    </row>
    <row r="173" spans="1:256" s="73" customFormat="1">
      <c r="A173" s="977"/>
      <c r="B173" s="298" t="s">
        <v>95</v>
      </c>
      <c r="C173" s="299">
        <v>0</v>
      </c>
      <c r="D173" s="299">
        <v>10</v>
      </c>
      <c r="E173" s="299">
        <v>42</v>
      </c>
      <c r="F173" s="299">
        <v>16</v>
      </c>
      <c r="G173" s="299">
        <v>62</v>
      </c>
      <c r="H173" s="299">
        <v>130</v>
      </c>
      <c r="I173" s="300"/>
      <c r="J173" s="300"/>
      <c r="K173" s="300"/>
      <c r="L173" s="100">
        <f>((C173*$C$5)+(D173*$D$5)+(E173*$E$5)+(F173*$F$5)+(G173*$G$5))</f>
        <v>10656.212</v>
      </c>
      <c r="M173" s="301">
        <v>0</v>
      </c>
      <c r="N173" s="302">
        <v>8</v>
      </c>
      <c r="O173" s="303">
        <f>P10</f>
        <v>64</v>
      </c>
      <c r="P173" s="170">
        <f>(C173+D173+E173+F173+G173)*O173</f>
        <v>8320</v>
      </c>
      <c r="Q173" s="171">
        <f>M173*O173</f>
        <v>0</v>
      </c>
      <c r="R173" s="171">
        <f>N173*O173</f>
        <v>512</v>
      </c>
      <c r="S173" s="142">
        <f>(L173+M173+N173)*O173</f>
        <v>682509.56799999997</v>
      </c>
      <c r="T173" s="867" t="s">
        <v>408</v>
      </c>
      <c r="U173" s="846">
        <f>IF($T173="RP",O173,"")</f>
        <v>64</v>
      </c>
      <c r="V173" s="846">
        <f>IF($T173="RP",P173,"")</f>
        <v>8320</v>
      </c>
      <c r="W173" s="846">
        <f>IF($T173="RP",SUM(Q173:R173),"")</f>
        <v>512</v>
      </c>
      <c r="X173" s="846" t="str">
        <f>IF($T173="RK",O173,"")</f>
        <v/>
      </c>
      <c r="Y173" s="846" t="str">
        <f>IF($T173="RK",P173,"")</f>
        <v/>
      </c>
      <c r="Z173" s="992" t="str">
        <f>IF($T173="Rk",SUM(Q173:R173),"")</f>
        <v/>
      </c>
      <c r="AA173" s="1"/>
      <c r="AB173" s="1"/>
      <c r="AC173" s="1"/>
      <c r="AD173" s="1"/>
      <c r="AE173" s="1"/>
      <c r="IQ173" s="86"/>
      <c r="IR173" s="86"/>
      <c r="IS173" s="86"/>
      <c r="IT173" s="86"/>
      <c r="IU173" s="86"/>
      <c r="IV173" s="86"/>
    </row>
    <row r="174" spans="1:256" s="73" customFormat="1">
      <c r="A174" s="990"/>
      <c r="B174" s="144" t="s">
        <v>96</v>
      </c>
      <c r="C174" s="111"/>
      <c r="D174" s="111"/>
      <c r="E174" s="111"/>
      <c r="F174" s="111"/>
      <c r="G174" s="111"/>
      <c r="H174" s="103"/>
      <c r="I174" s="112"/>
      <c r="J174" s="112"/>
      <c r="K174" s="112"/>
      <c r="L174" s="82"/>
      <c r="M174" s="304"/>
      <c r="N174" s="305"/>
      <c r="O174" s="207"/>
      <c r="P174" s="226"/>
      <c r="Q174" s="306"/>
      <c r="R174" s="84"/>
      <c r="S174" s="183"/>
      <c r="T174" s="85"/>
      <c r="U174" s="784"/>
      <c r="V174" s="784"/>
      <c r="X174" s="855"/>
      <c r="Y174" s="784"/>
      <c r="Z174" s="973"/>
      <c r="AA174" s="1"/>
      <c r="AB174" s="1"/>
      <c r="AC174" s="1"/>
      <c r="AD174" s="1"/>
      <c r="AE174" s="1"/>
      <c r="IQ174" s="86"/>
      <c r="IR174" s="86"/>
      <c r="IS174" s="86"/>
      <c r="IT174" s="86"/>
      <c r="IU174" s="86"/>
      <c r="IV174" s="86"/>
    </row>
    <row r="175" spans="1:256" s="73" customFormat="1" ht="12" thickBot="1">
      <c r="A175" s="990"/>
      <c r="B175" s="144" t="s">
        <v>97</v>
      </c>
      <c r="C175" s="111">
        <v>0</v>
      </c>
      <c r="D175" s="111">
        <v>0.5</v>
      </c>
      <c r="E175" s="111">
        <v>0</v>
      </c>
      <c r="F175" s="111">
        <v>1</v>
      </c>
      <c r="G175" s="111">
        <v>0</v>
      </c>
      <c r="H175" s="307">
        <v>1.5</v>
      </c>
      <c r="I175" s="112"/>
      <c r="J175" s="112"/>
      <c r="K175" s="112"/>
      <c r="L175" s="100">
        <f>((C175*$C$5)+(D175*$D$5)+(E175*$E$5)+(F175*$F$5)+(G175*$G$5))</f>
        <v>84.644000000000005</v>
      </c>
      <c r="M175" s="304">
        <v>0</v>
      </c>
      <c r="N175" s="305">
        <v>8</v>
      </c>
      <c r="O175" s="207">
        <f>0.1*P10</f>
        <v>6.4</v>
      </c>
      <c r="P175" s="170">
        <f>(C175+D175+E175+F175+G175)*O175</f>
        <v>9.6000000000000014</v>
      </c>
      <c r="Q175" s="171">
        <f>M175*O175</f>
        <v>0</v>
      </c>
      <c r="R175" s="171">
        <f>N175*O175</f>
        <v>51.2</v>
      </c>
      <c r="S175" s="142">
        <f>(L175+M175+N175)*O175</f>
        <v>592.92160000000001</v>
      </c>
      <c r="T175" s="867" t="s">
        <v>408</v>
      </c>
      <c r="U175" s="846">
        <f>IF($T175="RP",O175,"")</f>
        <v>6.4</v>
      </c>
      <c r="V175" s="846">
        <f>IF($T175="RP",P175,"")</f>
        <v>9.6000000000000014</v>
      </c>
      <c r="W175" s="846">
        <f>IF($T175="RP",SUM(Q175:R175),"")</f>
        <v>51.2</v>
      </c>
      <c r="X175" s="846" t="str">
        <f>IF($T175="RK",O175,"")</f>
        <v/>
      </c>
      <c r="Y175" s="846" t="str">
        <f>IF($T175="RK",P175,"")</f>
        <v/>
      </c>
      <c r="Z175" s="992" t="str">
        <f>IF($T175="Rk",SUM(Q175:R175),"")</f>
        <v/>
      </c>
      <c r="AA175" s="1"/>
      <c r="AB175" s="1"/>
      <c r="AC175" s="1"/>
      <c r="AD175" s="1"/>
      <c r="AE175" s="1"/>
      <c r="IQ175" s="86"/>
      <c r="IR175" s="86"/>
      <c r="IS175" s="86"/>
      <c r="IT175" s="86"/>
      <c r="IU175" s="86"/>
      <c r="IV175" s="86"/>
    </row>
    <row r="176" spans="1:256" s="73" customFormat="1" ht="12.75" thickTop="1" thickBot="1">
      <c r="A176" s="1068" t="s">
        <v>29</v>
      </c>
      <c r="B176" s="54"/>
      <c r="C176" s="55">
        <f t="shared" ref="C176:H176" si="47">SUM(C173:C175)</f>
        <v>0</v>
      </c>
      <c r="D176" s="55">
        <f t="shared" si="47"/>
        <v>10.5</v>
      </c>
      <c r="E176" s="55">
        <f t="shared" si="47"/>
        <v>42</v>
      </c>
      <c r="F176" s="55">
        <f t="shared" si="47"/>
        <v>17</v>
      </c>
      <c r="G176" s="55">
        <f t="shared" si="47"/>
        <v>62</v>
      </c>
      <c r="H176" s="55">
        <f t="shared" si="47"/>
        <v>131.5</v>
      </c>
      <c r="I176" s="56"/>
      <c r="J176" s="56"/>
      <c r="K176" s="56"/>
      <c r="L176" s="57">
        <f t="shared" ref="L176:S176" si="48">SUM(L173:L175)</f>
        <v>10740.856</v>
      </c>
      <c r="M176" s="57">
        <f t="shared" si="48"/>
        <v>0</v>
      </c>
      <c r="N176" s="58">
        <f t="shared" si="48"/>
        <v>16</v>
      </c>
      <c r="O176" s="308"/>
      <c r="P176" s="122">
        <f t="shared" si="48"/>
        <v>8329.6</v>
      </c>
      <c r="Q176" s="57">
        <f t="shared" si="48"/>
        <v>0</v>
      </c>
      <c r="R176" s="57">
        <f t="shared" si="48"/>
        <v>563.20000000000005</v>
      </c>
      <c r="S176" s="57">
        <f t="shared" si="48"/>
        <v>683102.48959999997</v>
      </c>
      <c r="T176" s="57">
        <f t="shared" ref="T176:Z176" si="49">SUM(T173:T175)</f>
        <v>0</v>
      </c>
      <c r="U176" s="853">
        <f t="shared" si="49"/>
        <v>70.400000000000006</v>
      </c>
      <c r="V176" s="853">
        <f t="shared" si="49"/>
        <v>8329.6</v>
      </c>
      <c r="W176" s="57">
        <f t="shared" si="49"/>
        <v>563.20000000000005</v>
      </c>
      <c r="X176" s="853">
        <f t="shared" si="49"/>
        <v>0</v>
      </c>
      <c r="Y176" s="853">
        <f t="shared" si="49"/>
        <v>0</v>
      </c>
      <c r="Z176" s="976">
        <f t="shared" si="49"/>
        <v>0</v>
      </c>
      <c r="AA176" s="1"/>
      <c r="AB176" s="1"/>
      <c r="AC176" s="1"/>
      <c r="AD176" s="1"/>
      <c r="AE176" s="1"/>
      <c r="IQ176" s="86"/>
      <c r="IR176" s="86"/>
      <c r="IS176" s="86"/>
      <c r="IT176" s="86"/>
      <c r="IU176" s="86"/>
      <c r="IV176" s="86"/>
    </row>
    <row r="177" spans="1:256" s="73" customFormat="1" ht="12" thickTop="1">
      <c r="A177" s="1070" t="s">
        <v>184</v>
      </c>
      <c r="B177" s="194"/>
      <c r="C177" s="290"/>
      <c r="D177" s="290"/>
      <c r="E177" s="290"/>
      <c r="F177" s="290"/>
      <c r="G177" s="290"/>
      <c r="H177" s="290"/>
      <c r="I177" s="291"/>
      <c r="J177" s="291"/>
      <c r="K177" s="291"/>
      <c r="L177" s="292"/>
      <c r="M177" s="292"/>
      <c r="N177" s="293"/>
      <c r="O177" s="294"/>
      <c r="P177" s="295"/>
      <c r="Q177" s="296"/>
      <c r="R177" s="296"/>
      <c r="S177" s="297"/>
      <c r="T177" s="85"/>
      <c r="U177" s="784"/>
      <c r="V177" s="784"/>
      <c r="X177" s="855"/>
      <c r="Y177" s="784"/>
      <c r="Z177" s="973"/>
      <c r="AA177" s="1"/>
      <c r="AB177" s="1"/>
      <c r="AC177" s="1"/>
      <c r="AD177" s="1"/>
      <c r="AE177" s="1"/>
      <c r="IQ177" s="86"/>
      <c r="IR177" s="86"/>
      <c r="IS177" s="86"/>
      <c r="IT177" s="86"/>
      <c r="IU177" s="86"/>
      <c r="IV177" s="86"/>
    </row>
    <row r="178" spans="1:256" s="73" customFormat="1">
      <c r="A178" s="972"/>
      <c r="B178" s="144" t="s">
        <v>158</v>
      </c>
      <c r="C178" s="309"/>
      <c r="D178" s="309"/>
      <c r="E178" s="309"/>
      <c r="F178" s="309"/>
      <c r="G178" s="309"/>
      <c r="H178" s="309"/>
      <c r="I178" s="310"/>
      <c r="J178" s="310"/>
      <c r="K178" s="310"/>
      <c r="L178" s="311"/>
      <c r="M178" s="312"/>
      <c r="N178" s="313"/>
      <c r="O178" s="314"/>
      <c r="P178" s="315"/>
      <c r="Q178" s="316"/>
      <c r="R178" s="316"/>
      <c r="S178" s="868"/>
      <c r="T178" s="844"/>
      <c r="U178" s="835"/>
      <c r="V178" s="835"/>
      <c r="W178" s="229"/>
      <c r="X178" s="854"/>
      <c r="Y178" s="835"/>
      <c r="Z178" s="982"/>
      <c r="AA178" s="1"/>
      <c r="AB178" s="1"/>
      <c r="AC178" s="1"/>
      <c r="AD178" s="1"/>
      <c r="AE178" s="1"/>
      <c r="IQ178" s="86"/>
      <c r="IR178" s="86"/>
      <c r="IS178" s="86"/>
      <c r="IT178" s="86"/>
      <c r="IU178" s="86"/>
      <c r="IV178" s="86"/>
    </row>
    <row r="179" spans="1:256" s="73" customFormat="1">
      <c r="A179" s="990"/>
      <c r="B179" s="144" t="s">
        <v>159</v>
      </c>
      <c r="C179" s="111">
        <v>0</v>
      </c>
      <c r="D179" s="111">
        <v>2</v>
      </c>
      <c r="E179" s="111">
        <v>24</v>
      </c>
      <c r="F179" s="111">
        <v>2</v>
      </c>
      <c r="G179" s="111">
        <v>0</v>
      </c>
      <c r="H179" s="131">
        <f>SUM(C179:G179)</f>
        <v>28</v>
      </c>
      <c r="I179" s="112">
        <f>D179*$O179</f>
        <v>12.8</v>
      </c>
      <c r="J179" s="112">
        <f>E179*$O179</f>
        <v>153.60000000000002</v>
      </c>
      <c r="K179" s="112">
        <f>F179*$O179</f>
        <v>12.8</v>
      </c>
      <c r="L179" s="161">
        <f>((C179*$C$5)+(D179*$D$5)+(E179*$E$5)+(F179*$F$5)+(G179*$G$5))</f>
        <v>2084.3199999999997</v>
      </c>
      <c r="M179" s="304">
        <v>0</v>
      </c>
      <c r="N179" s="305">
        <v>8</v>
      </c>
      <c r="O179" s="207">
        <f>0.1*P10</f>
        <v>6.4</v>
      </c>
      <c r="P179" s="870">
        <f>(C179+D179+E179+F179+G179)*O179</f>
        <v>179.20000000000002</v>
      </c>
      <c r="Q179" s="164">
        <f>M179*O179</f>
        <v>0</v>
      </c>
      <c r="R179" s="164">
        <f>N179*O179</f>
        <v>51.2</v>
      </c>
      <c r="S179" s="571">
        <f>(L179+M179+N179)*O179</f>
        <v>13390.847999999998</v>
      </c>
      <c r="T179" s="841" t="s">
        <v>408</v>
      </c>
      <c r="U179" s="842">
        <f>IF($T179="RP",O179,"")</f>
        <v>6.4</v>
      </c>
      <c r="V179" s="842">
        <f>IF($T179="RP",P179,"")</f>
        <v>179.20000000000002</v>
      </c>
      <c r="W179" s="842">
        <f>IF($T179="RP",SUM(Q179:R179),"")</f>
        <v>51.2</v>
      </c>
      <c r="X179" s="842" t="str">
        <f>IF($T179="RK",O179,"")</f>
        <v/>
      </c>
      <c r="Y179" s="842" t="str">
        <f>IF($T179="RK",P179,"")</f>
        <v/>
      </c>
      <c r="Z179" s="984" t="str">
        <f>IF($T179="Rk",SUM(Q179:R179),"")</f>
        <v/>
      </c>
      <c r="AA179" s="1"/>
      <c r="AB179" s="1"/>
      <c r="AC179" s="1"/>
      <c r="AD179" s="1"/>
      <c r="AE179" s="1"/>
      <c r="IQ179" s="86"/>
      <c r="IR179" s="86"/>
      <c r="IS179" s="86"/>
      <c r="IT179" s="86"/>
      <c r="IU179" s="86"/>
      <c r="IV179" s="86"/>
    </row>
    <row r="180" spans="1:256" s="73" customFormat="1">
      <c r="A180" s="991"/>
      <c r="B180" s="317" t="s">
        <v>160</v>
      </c>
      <c r="C180" s="185">
        <v>1</v>
      </c>
      <c r="D180" s="185">
        <v>2</v>
      </c>
      <c r="E180" s="185">
        <v>2</v>
      </c>
      <c r="F180" s="185">
        <v>1</v>
      </c>
      <c r="G180" s="185">
        <v>0</v>
      </c>
      <c r="H180" s="159">
        <f>SUM(C180:G180)</f>
        <v>6</v>
      </c>
      <c r="I180" s="318"/>
      <c r="J180" s="318"/>
      <c r="K180" s="318"/>
      <c r="L180" s="187">
        <f>((C180*$C$5)+(D180*$D$5)+(E180*$E$5)+(F180*$F$5)+(G180*$G$5))</f>
        <v>491.02199999999999</v>
      </c>
      <c r="M180" s="319">
        <v>0</v>
      </c>
      <c r="N180" s="320">
        <v>0</v>
      </c>
      <c r="O180" s="321">
        <f>0.1*P10</f>
        <v>6.4</v>
      </c>
      <c r="P180" s="871">
        <f>(C180+D180+E180+F180+G180)*O180</f>
        <v>38.400000000000006</v>
      </c>
      <c r="Q180" s="322">
        <f>M180*O180</f>
        <v>0</v>
      </c>
      <c r="R180" s="323">
        <f>N180*O180</f>
        <v>0</v>
      </c>
      <c r="S180" s="571">
        <f>(L180+M180+N180)*O180</f>
        <v>3142.5408000000002</v>
      </c>
      <c r="T180" s="867" t="s">
        <v>408</v>
      </c>
      <c r="U180" s="846">
        <f>IF($T180="RP",O180,"")</f>
        <v>6.4</v>
      </c>
      <c r="V180" s="846">
        <f>IF($T180="RP",P180,"")</f>
        <v>38.400000000000006</v>
      </c>
      <c r="W180" s="846">
        <f>IF($T180="RP",SUM(Q180:R180),"")</f>
        <v>0</v>
      </c>
      <c r="X180" s="846" t="str">
        <f>IF($T180="RK",O180,"")</f>
        <v/>
      </c>
      <c r="Y180" s="846" t="str">
        <f>IF($T180="RK",P180,"")</f>
        <v/>
      </c>
      <c r="Z180" s="992" t="str">
        <f>IF($T180="Rk",SUM(Q180:R180),"")</f>
        <v/>
      </c>
      <c r="AA180" s="1"/>
      <c r="AB180" s="1"/>
      <c r="AC180" s="1"/>
      <c r="AD180" s="1"/>
      <c r="AE180" s="1"/>
      <c r="AF180" s="193"/>
      <c r="AG180" s="193"/>
      <c r="IQ180" s="86"/>
      <c r="IR180" s="86"/>
      <c r="IS180" s="86"/>
      <c r="IT180" s="86"/>
      <c r="IU180" s="86"/>
      <c r="IV180" s="86"/>
    </row>
    <row r="181" spans="1:256" s="73" customFormat="1">
      <c r="A181" s="990"/>
      <c r="B181" s="144" t="s">
        <v>93</v>
      </c>
      <c r="C181" s="111"/>
      <c r="D181" s="111"/>
      <c r="E181" s="111"/>
      <c r="F181" s="111"/>
      <c r="G181" s="111"/>
      <c r="H181" s="111"/>
      <c r="I181" s="112"/>
      <c r="J181" s="112"/>
      <c r="K181" s="112"/>
      <c r="L181" s="113"/>
      <c r="M181" s="304"/>
      <c r="N181" s="305"/>
      <c r="O181" s="207"/>
      <c r="P181" s="872"/>
      <c r="Q181" s="306"/>
      <c r="R181" s="84"/>
      <c r="S181" s="183"/>
      <c r="T181" s="85"/>
      <c r="U181" s="784"/>
      <c r="V181" s="784"/>
      <c r="X181" s="855"/>
      <c r="Y181" s="784"/>
      <c r="Z181" s="973"/>
      <c r="AA181" s="1"/>
      <c r="AB181" s="1"/>
      <c r="AC181" s="1"/>
      <c r="AD181" s="1"/>
      <c r="AE181" s="1"/>
      <c r="IQ181" s="86"/>
      <c r="IR181" s="86"/>
      <c r="IS181" s="86"/>
      <c r="IT181" s="86"/>
      <c r="IU181" s="86"/>
      <c r="IV181" s="86"/>
    </row>
    <row r="182" spans="1:256" s="73" customFormat="1" ht="12" thickBot="1">
      <c r="A182" s="990"/>
      <c r="B182" s="144" t="s">
        <v>89</v>
      </c>
      <c r="C182" s="111">
        <v>0</v>
      </c>
      <c r="D182" s="111">
        <v>2</v>
      </c>
      <c r="E182" s="111">
        <v>20</v>
      </c>
      <c r="F182" s="111">
        <v>1</v>
      </c>
      <c r="G182" s="111">
        <v>0</v>
      </c>
      <c r="H182" s="45">
        <f>SUM(C182:G182)</f>
        <v>23</v>
      </c>
      <c r="I182" s="324"/>
      <c r="J182" s="324"/>
      <c r="K182" s="324"/>
      <c r="L182" s="325">
        <f>((C182*$C$5)+(D182*$D$5)+(E182*$E$5)+(F182*$F$5)+(G182*$G$5))</f>
        <v>1744.2319999999997</v>
      </c>
      <c r="M182" s="304">
        <v>0</v>
      </c>
      <c r="N182" s="305">
        <v>8</v>
      </c>
      <c r="O182" s="207">
        <f>0.1*P10</f>
        <v>6.4</v>
      </c>
      <c r="P182" s="873">
        <f>(C182+D182+E182+F182+G182)*O182</f>
        <v>147.20000000000002</v>
      </c>
      <c r="Q182" s="326">
        <f>M182*O182</f>
        <v>0</v>
      </c>
      <c r="R182" s="326">
        <f>N182*O182</f>
        <v>51.2</v>
      </c>
      <c r="S182" s="233">
        <f>(L182+M182+N182)*O182</f>
        <v>11214.284799999999</v>
      </c>
      <c r="T182" s="867" t="s">
        <v>408</v>
      </c>
      <c r="U182" s="846">
        <f>IF($T182="RP",O182,"")</f>
        <v>6.4</v>
      </c>
      <c r="V182" s="846">
        <f>IF($T182="RP",P182,"")</f>
        <v>147.20000000000002</v>
      </c>
      <c r="W182" s="846">
        <f>IF($T182="RP",SUM(Q182:R182),"")</f>
        <v>51.2</v>
      </c>
      <c r="X182" s="846" t="str">
        <f>IF($T182="RK",O182,"")</f>
        <v/>
      </c>
      <c r="Y182" s="846" t="str">
        <f>IF($T182="RK",P182,"")</f>
        <v/>
      </c>
      <c r="Z182" s="992" t="str">
        <f>IF($T182="Rk",SUM(Q182:R182),"")</f>
        <v/>
      </c>
      <c r="AA182" s="1"/>
      <c r="AB182" s="1"/>
      <c r="AC182" s="1"/>
      <c r="AD182" s="1"/>
      <c r="AE182" s="1"/>
      <c r="IQ182" s="86"/>
      <c r="IR182" s="86"/>
      <c r="IS182" s="86"/>
      <c r="IT182" s="86"/>
      <c r="IU182" s="86"/>
      <c r="IV182" s="86"/>
    </row>
    <row r="183" spans="1:256" s="73" customFormat="1" ht="12.75" thickTop="1" thickBot="1">
      <c r="A183" s="1068" t="s">
        <v>29</v>
      </c>
      <c r="B183" s="54"/>
      <c r="C183" s="55">
        <f t="shared" ref="C183:H183" si="50">SUM(C179:C182)</f>
        <v>1</v>
      </c>
      <c r="D183" s="55">
        <f t="shared" si="50"/>
        <v>6</v>
      </c>
      <c r="E183" s="55">
        <f t="shared" si="50"/>
        <v>46</v>
      </c>
      <c r="F183" s="55">
        <f t="shared" si="50"/>
        <v>4</v>
      </c>
      <c r="G183" s="55">
        <f t="shared" si="50"/>
        <v>0</v>
      </c>
      <c r="H183" s="55">
        <f t="shared" si="50"/>
        <v>57</v>
      </c>
      <c r="I183" s="56"/>
      <c r="J183" s="56"/>
      <c r="K183" s="56"/>
      <c r="L183" s="57">
        <f>SUM(L179:L182)</f>
        <v>4319.5739999999996</v>
      </c>
      <c r="M183" s="57">
        <f>SUM(M179:M182)</f>
        <v>0</v>
      </c>
      <c r="N183" s="58">
        <f>SUM(N179:N182)</f>
        <v>16</v>
      </c>
      <c r="O183" s="59"/>
      <c r="P183" s="869">
        <f>SUM(P179:P182)</f>
        <v>364.80000000000007</v>
      </c>
      <c r="Q183" s="58">
        <f>SUM(Q179:Q182)</f>
        <v>0</v>
      </c>
      <c r="R183" s="58">
        <f>SUM(R179:R182)</f>
        <v>102.4</v>
      </c>
      <c r="S183" s="58">
        <f>SUM(S179:S182)</f>
        <v>27747.673599999995</v>
      </c>
      <c r="T183" s="874" t="str">
        <f t="shared" ref="T183:Z183" si="51">T179</f>
        <v>RP</v>
      </c>
      <c r="U183" s="869">
        <f>SUM(U179:U182)</f>
        <v>19.200000000000003</v>
      </c>
      <c r="V183" s="869">
        <f>SUM(V179:V182)</f>
        <v>364.80000000000007</v>
      </c>
      <c r="W183" s="869">
        <f>SUM(W179:W182)</f>
        <v>102.4</v>
      </c>
      <c r="X183" s="849" t="str">
        <f t="shared" si="51"/>
        <v/>
      </c>
      <c r="Y183" s="849" t="str">
        <f t="shared" si="51"/>
        <v/>
      </c>
      <c r="Z183" s="976" t="str">
        <f t="shared" si="51"/>
        <v/>
      </c>
      <c r="AA183" s="1"/>
      <c r="AB183" s="1"/>
      <c r="AC183" s="1"/>
      <c r="AD183" s="1"/>
      <c r="AE183" s="1"/>
      <c r="IQ183" s="86"/>
      <c r="IR183" s="86"/>
      <c r="IS183" s="86"/>
      <c r="IT183" s="86"/>
      <c r="IU183" s="86"/>
      <c r="IV183" s="86"/>
    </row>
    <row r="184" spans="1:256" s="73" customFormat="1" ht="12.75" thickTop="1" thickBot="1">
      <c r="A184" s="1068"/>
      <c r="B184" s="65"/>
      <c r="C184" s="66"/>
      <c r="D184" s="66"/>
      <c r="E184" s="66"/>
      <c r="F184" s="66"/>
      <c r="G184" s="66"/>
      <c r="H184" s="66"/>
      <c r="I184" s="88"/>
      <c r="J184" s="88"/>
      <c r="K184" s="88"/>
      <c r="L184" s="68"/>
      <c r="M184" s="68"/>
      <c r="N184" s="69"/>
      <c r="O184" s="89"/>
      <c r="P184" s="70"/>
      <c r="Q184" s="71"/>
      <c r="R184" s="71"/>
      <c r="S184" s="72"/>
      <c r="T184" s="85"/>
      <c r="U184" s="784"/>
      <c r="V184" s="784"/>
      <c r="X184" s="855"/>
      <c r="Y184" s="784"/>
      <c r="Z184" s="973"/>
      <c r="AA184" s="86"/>
      <c r="AB184" s="86"/>
      <c r="AC184" s="86"/>
      <c r="AD184" s="86"/>
      <c r="AE184" s="86"/>
      <c r="IQ184" s="86"/>
      <c r="IR184" s="86"/>
      <c r="IS184" s="86"/>
      <c r="IT184" s="86"/>
      <c r="IU184" s="86"/>
      <c r="IV184" s="86"/>
    </row>
    <row r="185" spans="1:256" s="73" customFormat="1" ht="12.75" thickTop="1" thickBot="1">
      <c r="A185" s="1071" t="s">
        <v>263</v>
      </c>
      <c r="B185" s="1072"/>
      <c r="C185" s="1004"/>
      <c r="D185" s="1004"/>
      <c r="E185" s="1004"/>
      <c r="F185" s="1004"/>
      <c r="G185" s="1004"/>
      <c r="H185" s="1005">
        <f>SUM(H149,H154,H159,H171,H176,H183)</f>
        <v>1289.5</v>
      </c>
      <c r="I185" s="1073"/>
      <c r="J185" s="1073"/>
      <c r="K185" s="1073"/>
      <c r="L185" s="1007">
        <f>SUM(L149,L154,L159,L171,L176,L183)</f>
        <v>109711.64399999999</v>
      </c>
      <c r="M185" s="1007">
        <f>SUM(M149,M154,M159,M171,M176,M183)</f>
        <v>0</v>
      </c>
      <c r="N185" s="1074">
        <f>SUM(N149,N154,N159,N171,N176,N183)</f>
        <v>71082</v>
      </c>
      <c r="O185" s="1075"/>
      <c r="P185" s="1076">
        <f>SUM(P149,P154,P159,P171,P176,P183)</f>
        <v>57780.833333333336</v>
      </c>
      <c r="Q185" s="1007">
        <f>SUM(Q149,Q154,Q159,Q171,Q176,Q183)</f>
        <v>0</v>
      </c>
      <c r="R185" s="1007">
        <f>SUM(R149,R154,R159,R171,R176,R183)</f>
        <v>3929421.333333334</v>
      </c>
      <c r="S185" s="1007">
        <f>SUM(S149,S154,S159,S171,S176,S183)</f>
        <v>8928058.6655999981</v>
      </c>
      <c r="T185" s="1007"/>
      <c r="U185" s="1010">
        <f t="shared" ref="U185:Z185" si="52">SUM(U149,U154,U159,U171,U176,U183)</f>
        <v>234.76666666666671</v>
      </c>
      <c r="V185" s="1010">
        <f t="shared" si="52"/>
        <v>57780.833333333336</v>
      </c>
      <c r="W185" s="1007">
        <f t="shared" si="52"/>
        <v>3929421.333333334</v>
      </c>
      <c r="X185" s="1010">
        <f t="shared" si="52"/>
        <v>0</v>
      </c>
      <c r="Y185" s="1010">
        <f t="shared" si="52"/>
        <v>0</v>
      </c>
      <c r="Z185" s="1011">
        <f t="shared" si="52"/>
        <v>0</v>
      </c>
      <c r="AA185" s="1"/>
      <c r="AB185" s="1"/>
      <c r="AC185" s="1"/>
      <c r="AD185" s="1"/>
      <c r="AE185" s="1"/>
      <c r="IQ185" s="86"/>
      <c r="IR185" s="86"/>
      <c r="IS185" s="86"/>
      <c r="IT185" s="86"/>
      <c r="IU185" s="86"/>
      <c r="IV185" s="86"/>
    </row>
    <row r="186" spans="1:256" s="73" customFormat="1">
      <c r="A186" s="35"/>
      <c r="B186" s="35"/>
      <c r="C186" s="242"/>
      <c r="D186" s="242"/>
      <c r="E186" s="242"/>
      <c r="F186" s="242"/>
      <c r="G186" s="242"/>
      <c r="H186" s="242"/>
      <c r="I186" s="243"/>
      <c r="J186" s="243"/>
      <c r="K186" s="243"/>
      <c r="L186" s="244"/>
      <c r="M186" s="327"/>
      <c r="N186" s="244"/>
      <c r="O186" s="328"/>
      <c r="P186" s="245"/>
      <c r="Q186" s="246"/>
      <c r="R186" s="246"/>
      <c r="S186" s="244"/>
      <c r="T186" s="9"/>
      <c r="U186" s="783"/>
      <c r="V186" s="783"/>
      <c r="X186" s="855"/>
      <c r="Y186" s="783"/>
      <c r="Z186" s="1"/>
      <c r="AA186" s="1"/>
      <c r="AB186" s="1"/>
      <c r="AC186" s="1"/>
      <c r="AD186" s="1"/>
      <c r="AE186" s="1"/>
      <c r="IQ186" s="86"/>
      <c r="IR186" s="86"/>
      <c r="IS186" s="86"/>
      <c r="IT186" s="86"/>
      <c r="IU186" s="86"/>
      <c r="IV186" s="86"/>
    </row>
    <row r="187" spans="1:256" s="73" customFormat="1">
      <c r="A187" s="35"/>
      <c r="B187" s="35"/>
      <c r="C187" s="242"/>
      <c r="D187" s="242"/>
      <c r="E187" s="242"/>
      <c r="F187" s="242"/>
      <c r="G187" s="242"/>
      <c r="H187" s="242"/>
      <c r="I187" s="243"/>
      <c r="J187" s="243"/>
      <c r="K187" s="243"/>
      <c r="L187" s="244"/>
      <c r="M187" s="327"/>
      <c r="N187" s="244"/>
      <c r="O187" s="328"/>
      <c r="P187" s="245"/>
      <c r="Q187" s="246"/>
      <c r="R187" s="246"/>
      <c r="S187" s="244"/>
      <c r="T187" s="9"/>
      <c r="U187" s="783"/>
      <c r="V187" s="783"/>
      <c r="X187" s="855"/>
      <c r="Y187" s="783"/>
      <c r="Z187" s="1"/>
      <c r="AA187" s="1"/>
      <c r="AB187" s="1"/>
      <c r="AC187" s="1"/>
      <c r="AD187" s="1"/>
      <c r="AE187" s="1"/>
      <c r="IQ187" s="86"/>
      <c r="IR187" s="86"/>
      <c r="IS187" s="86"/>
      <c r="IT187" s="86"/>
      <c r="IU187" s="86"/>
      <c r="IV187" s="86"/>
    </row>
    <row r="188" spans="1:256" s="73" customFormat="1" ht="12" thickBot="1">
      <c r="A188" s="35"/>
      <c r="B188" s="35"/>
      <c r="C188" s="242"/>
      <c r="D188" s="242"/>
      <c r="E188" s="242"/>
      <c r="F188" s="242"/>
      <c r="G188" s="242"/>
      <c r="H188" s="242"/>
      <c r="I188" s="243"/>
      <c r="J188" s="243"/>
      <c r="K188" s="243"/>
      <c r="L188" s="244"/>
      <c r="M188" s="327"/>
      <c r="N188" s="244"/>
      <c r="O188" s="328"/>
      <c r="P188" s="245"/>
      <c r="Q188" s="246"/>
      <c r="R188" s="246"/>
      <c r="S188" s="244"/>
      <c r="T188" s="9"/>
      <c r="U188" s="783"/>
      <c r="V188" s="783"/>
      <c r="X188" s="855"/>
      <c r="Y188" s="783"/>
      <c r="Z188" s="1"/>
      <c r="AA188" s="1"/>
      <c r="AB188" s="1"/>
      <c r="AC188" s="1"/>
      <c r="AD188" s="1"/>
      <c r="AE188" s="1"/>
      <c r="IQ188" s="86"/>
      <c r="IR188" s="86"/>
      <c r="IS188" s="86"/>
      <c r="IT188" s="86"/>
      <c r="IU188" s="86"/>
      <c r="IV188" s="86"/>
    </row>
    <row r="189" spans="1:256" s="73" customFormat="1" ht="12" thickBot="1">
      <c r="A189" s="1012" t="s">
        <v>260</v>
      </c>
      <c r="B189" s="1013"/>
      <c r="C189" s="1056"/>
      <c r="D189" s="1056"/>
      <c r="E189" s="1056"/>
      <c r="F189" s="1056"/>
      <c r="G189" s="1056"/>
      <c r="H189" s="1056"/>
      <c r="I189" s="1057"/>
      <c r="J189" s="1057"/>
      <c r="K189" s="1057"/>
      <c r="L189" s="1058"/>
      <c r="M189" s="1059"/>
      <c r="N189" s="1142"/>
      <c r="O189" s="1060"/>
      <c r="P189" s="1061"/>
      <c r="Q189" s="1062"/>
      <c r="R189" s="1062"/>
      <c r="S189" s="1063"/>
      <c r="T189" s="1063"/>
      <c r="U189" s="1064"/>
      <c r="V189" s="1064"/>
      <c r="W189" s="1063"/>
      <c r="X189" s="1064"/>
      <c r="Y189" s="1064"/>
      <c r="Z189" s="1065"/>
      <c r="AA189" s="1"/>
      <c r="AB189" s="1"/>
      <c r="AC189" s="1"/>
      <c r="AD189" s="1"/>
      <c r="AE189" s="1"/>
      <c r="AF189" s="193"/>
      <c r="AG189" s="193"/>
      <c r="IQ189" s="86"/>
      <c r="IR189" s="86"/>
      <c r="IS189" s="86"/>
      <c r="IT189" s="86"/>
      <c r="IU189" s="86"/>
      <c r="IV189" s="86"/>
    </row>
    <row r="190" spans="1:256" s="73" customFormat="1" ht="12" thickTop="1">
      <c r="A190" s="1127" t="s">
        <v>105</v>
      </c>
      <c r="B190" s="330"/>
      <c r="C190" s="331"/>
      <c r="D190" s="331"/>
      <c r="E190" s="331"/>
      <c r="F190" s="331"/>
      <c r="G190" s="331"/>
      <c r="H190" s="331"/>
      <c r="I190" s="332"/>
      <c r="J190" s="332"/>
      <c r="K190" s="332"/>
      <c r="L190" s="333"/>
      <c r="M190" s="333"/>
      <c r="N190" s="334"/>
      <c r="O190" s="335"/>
      <c r="P190" s="336"/>
      <c r="Q190" s="877"/>
      <c r="R190" s="877"/>
      <c r="S190" s="878"/>
      <c r="T190" s="85"/>
      <c r="U190" s="784"/>
      <c r="V190" s="784"/>
      <c r="X190" s="855"/>
      <c r="Y190" s="784"/>
      <c r="Z190" s="973"/>
      <c r="AA190" s="1"/>
      <c r="AB190" s="1"/>
      <c r="AC190" s="1"/>
      <c r="AD190" s="1"/>
      <c r="AE190" s="1"/>
      <c r="IQ190" s="86"/>
      <c r="IR190" s="86"/>
      <c r="IS190" s="86"/>
      <c r="IT190" s="86"/>
      <c r="IU190" s="86"/>
      <c r="IV190" s="86"/>
    </row>
    <row r="191" spans="1:256" s="73" customFormat="1">
      <c r="A191" s="1134"/>
      <c r="B191" s="340" t="s">
        <v>106</v>
      </c>
      <c r="C191" s="341"/>
      <c r="D191" s="342"/>
      <c r="E191" s="342"/>
      <c r="F191" s="342"/>
      <c r="G191" s="342"/>
      <c r="H191" s="342"/>
      <c r="I191" s="343"/>
      <c r="J191" s="343"/>
      <c r="K191" s="343"/>
      <c r="L191" s="304"/>
      <c r="M191" s="304"/>
      <c r="N191" s="305"/>
      <c r="O191" s="207"/>
      <c r="P191" s="344"/>
      <c r="Q191" s="879"/>
      <c r="R191" s="879"/>
      <c r="S191" s="880"/>
      <c r="T191" s="844"/>
      <c r="U191" s="835"/>
      <c r="V191" s="835"/>
      <c r="W191" s="229"/>
      <c r="X191" s="854"/>
      <c r="Y191" s="835"/>
      <c r="Z191" s="982"/>
      <c r="AA191" s="1"/>
      <c r="AB191" s="1"/>
      <c r="AC191" s="1"/>
      <c r="AD191" s="1"/>
      <c r="AE191" s="1"/>
      <c r="IQ191" s="86"/>
      <c r="IR191" s="86"/>
      <c r="IS191" s="86"/>
      <c r="IT191" s="86"/>
      <c r="IU191" s="86"/>
      <c r="IV191" s="86"/>
    </row>
    <row r="192" spans="1:256" s="73" customFormat="1">
      <c r="A192" s="1131"/>
      <c r="B192" s="347" t="s">
        <v>107</v>
      </c>
      <c r="C192" s="348">
        <v>0</v>
      </c>
      <c r="D192" s="349">
        <v>0</v>
      </c>
      <c r="E192" s="349">
        <v>0</v>
      </c>
      <c r="F192" s="349">
        <v>0</v>
      </c>
      <c r="G192" s="349">
        <v>0</v>
      </c>
      <c r="H192" s="45">
        <f>SUM(C192:G192)</f>
        <v>0</v>
      </c>
      <c r="I192" s="46">
        <f>D192*$O192</f>
        <v>0</v>
      </c>
      <c r="J192" s="46">
        <f>E192*$O192</f>
        <v>0</v>
      </c>
      <c r="K192" s="46">
        <f>F192*$O192</f>
        <v>0</v>
      </c>
      <c r="L192" s="47">
        <f>((C192*$C$5)+(D192*$D$5)+(E192*$E$5)+(F192*$F$5)+(G192*$G$5))</f>
        <v>0</v>
      </c>
      <c r="M192" s="350">
        <v>0</v>
      </c>
      <c r="N192" s="351">
        <v>0</v>
      </c>
      <c r="O192" s="49">
        <v>0</v>
      </c>
      <c r="P192" s="50">
        <f>(C192+D192+E192+F192+G192)*O192</f>
        <v>0</v>
      </c>
      <c r="Q192" s="218">
        <f>M192*O192</f>
        <v>0</v>
      </c>
      <c r="R192" s="881">
        <f>N192*O192</f>
        <v>0</v>
      </c>
      <c r="S192" s="875">
        <f>(L192+M192+N192)*O192</f>
        <v>0</v>
      </c>
      <c r="T192" s="841" t="s">
        <v>407</v>
      </c>
      <c r="U192" s="842" t="str">
        <f>IF($T192="RP",O192,"")</f>
        <v/>
      </c>
      <c r="V192" s="842" t="str">
        <f>IF($T192="RP",P192,"")</f>
        <v/>
      </c>
      <c r="W192" s="842" t="str">
        <f>IF($T192="RP",SUM(Q192:R192),"")</f>
        <v/>
      </c>
      <c r="X192" s="842">
        <f>IF($T192="RK",O192,"")</f>
        <v>0</v>
      </c>
      <c r="Y192" s="842">
        <f>IF($T192="RK",P192,"")</f>
        <v>0</v>
      </c>
      <c r="Z192" s="984">
        <f>IF($T192="Rk",SUM(Q192:R192),"")</f>
        <v>0</v>
      </c>
      <c r="AA192" s="1"/>
      <c r="AB192" s="1"/>
      <c r="AC192" s="1"/>
      <c r="AD192" s="1"/>
      <c r="AE192" s="1"/>
      <c r="IQ192" s="86"/>
      <c r="IR192" s="86"/>
      <c r="IS192" s="86"/>
      <c r="IT192" s="86"/>
      <c r="IU192" s="86"/>
      <c r="IV192" s="86"/>
    </row>
    <row r="193" spans="1:256" s="73" customFormat="1">
      <c r="A193" s="1134"/>
      <c r="B193" s="340" t="s">
        <v>186</v>
      </c>
      <c r="C193" s="352"/>
      <c r="D193" s="352"/>
      <c r="E193" s="352"/>
      <c r="F193" s="352"/>
      <c r="G193" s="352"/>
      <c r="H193" s="353"/>
      <c r="I193" s="354"/>
      <c r="J193" s="354"/>
      <c r="K193" s="354"/>
      <c r="L193" s="118"/>
      <c r="M193" s="355"/>
      <c r="N193" s="356"/>
      <c r="O193" s="107"/>
      <c r="P193" s="116"/>
      <c r="Q193" s="117"/>
      <c r="R193" s="117"/>
      <c r="S193" s="876"/>
      <c r="T193" s="845"/>
      <c r="U193" s="784"/>
      <c r="V193" s="784"/>
      <c r="X193" s="855"/>
      <c r="Y193" s="784"/>
      <c r="Z193" s="973"/>
      <c r="AA193" s="1"/>
      <c r="AB193" s="1"/>
      <c r="AC193" s="1"/>
      <c r="AD193" s="1"/>
      <c r="AE193" s="1"/>
      <c r="IQ193" s="86"/>
      <c r="IR193" s="86"/>
      <c r="IS193" s="86"/>
      <c r="IT193" s="86"/>
      <c r="IU193" s="86"/>
      <c r="IV193" s="86"/>
    </row>
    <row r="194" spans="1:256" s="73" customFormat="1" ht="12" thickBot="1">
      <c r="A194" s="1134"/>
      <c r="B194" s="340" t="s">
        <v>108</v>
      </c>
      <c r="C194" s="357">
        <v>0</v>
      </c>
      <c r="D194" s="357">
        <v>0</v>
      </c>
      <c r="E194" s="357">
        <v>0</v>
      </c>
      <c r="F194" s="357">
        <v>0</v>
      </c>
      <c r="G194" s="357">
        <v>0</v>
      </c>
      <c r="H194" s="45">
        <f>SUM(C194:G194)</f>
        <v>0</v>
      </c>
      <c r="I194" s="358"/>
      <c r="J194" s="358"/>
      <c r="K194" s="358"/>
      <c r="L194" s="47">
        <f>((C194*$C$5)+(D194*$D$5)+(E194*$E$5)+(F194*$F$5)+(G194*$G$5))</f>
        <v>0</v>
      </c>
      <c r="M194" s="359">
        <v>0</v>
      </c>
      <c r="N194" s="360">
        <v>0</v>
      </c>
      <c r="O194" s="361">
        <v>0</v>
      </c>
      <c r="P194" s="50">
        <f>(C194+D194+E194+F194+G194)*O194</f>
        <v>0</v>
      </c>
      <c r="Q194" s="51">
        <f>M194*O194</f>
        <v>0</v>
      </c>
      <c r="R194" s="51">
        <f>N194*O194</f>
        <v>0</v>
      </c>
      <c r="S194" s="52">
        <f>(L194+M194+N194)*O194</f>
        <v>0</v>
      </c>
      <c r="T194" s="841" t="s">
        <v>407</v>
      </c>
      <c r="U194" s="842" t="str">
        <f>IF($T194="RP",O194,"")</f>
        <v/>
      </c>
      <c r="V194" s="842" t="str">
        <f>IF($T194="RP",P194,"")</f>
        <v/>
      </c>
      <c r="W194" s="842" t="str">
        <f>IF($T194="RP",SUM(Q194:R194),"")</f>
        <v/>
      </c>
      <c r="X194" s="842">
        <f>IF($T194="RK",O194,"")</f>
        <v>0</v>
      </c>
      <c r="Y194" s="842">
        <f>IF($T194="RK",P194,"")</f>
        <v>0</v>
      </c>
      <c r="Z194" s="984">
        <f>IF($T194="Rk",SUM(Q194:R194),"")</f>
        <v>0</v>
      </c>
      <c r="AA194" s="1"/>
      <c r="AB194" s="1"/>
      <c r="AC194" s="1"/>
      <c r="AD194" s="1"/>
      <c r="AE194" s="1"/>
      <c r="IQ194" s="86"/>
      <c r="IR194" s="86"/>
      <c r="IS194" s="86"/>
      <c r="IT194" s="86"/>
      <c r="IU194" s="86"/>
      <c r="IV194" s="86"/>
    </row>
    <row r="195" spans="1:256" s="73" customFormat="1" ht="12.75" thickTop="1" thickBot="1">
      <c r="A195" s="1068" t="s">
        <v>29</v>
      </c>
      <c r="B195" s="172"/>
      <c r="C195" s="173">
        <f t="shared" ref="C195:H195" si="53">SUM(C192:C194)</f>
        <v>0</v>
      </c>
      <c r="D195" s="173">
        <f t="shared" si="53"/>
        <v>0</v>
      </c>
      <c r="E195" s="173">
        <f t="shared" si="53"/>
        <v>0</v>
      </c>
      <c r="F195" s="173">
        <f t="shared" si="53"/>
        <v>0</v>
      </c>
      <c r="G195" s="173">
        <f t="shared" si="53"/>
        <v>0</v>
      </c>
      <c r="H195" s="173">
        <f t="shared" si="53"/>
        <v>0</v>
      </c>
      <c r="I195" s="67"/>
      <c r="J195" s="67"/>
      <c r="K195" s="67"/>
      <c r="L195" s="72">
        <f>SUM(L192:L194)</f>
        <v>0</v>
      </c>
      <c r="M195" s="72">
        <f>SUM(M192:M194)</f>
        <v>0</v>
      </c>
      <c r="N195" s="69">
        <f>SUM(N192:N194)</f>
        <v>0</v>
      </c>
      <c r="O195" s="59"/>
      <c r="P195" s="176">
        <f>SUM(P192:P194)</f>
        <v>0</v>
      </c>
      <c r="Q195" s="72">
        <f>SUM(Q192:Q194)</f>
        <v>0</v>
      </c>
      <c r="R195" s="72">
        <f>SUM(R192:R194)</f>
        <v>0</v>
      </c>
      <c r="S195" s="72">
        <f>SUM(S192:S194)</f>
        <v>0</v>
      </c>
      <c r="T195" s="72">
        <f t="shared" ref="T195:Z195" si="54">SUM(T192:T194)</f>
        <v>0</v>
      </c>
      <c r="U195" s="850">
        <f t="shared" si="54"/>
        <v>0</v>
      </c>
      <c r="V195" s="850">
        <f t="shared" si="54"/>
        <v>0</v>
      </c>
      <c r="W195" s="72">
        <f t="shared" si="54"/>
        <v>0</v>
      </c>
      <c r="X195" s="850">
        <f t="shared" si="54"/>
        <v>0</v>
      </c>
      <c r="Y195" s="850">
        <f t="shared" si="54"/>
        <v>0</v>
      </c>
      <c r="Z195" s="988">
        <f t="shared" si="54"/>
        <v>0</v>
      </c>
      <c r="AA195" s="1"/>
      <c r="AB195" s="1"/>
      <c r="AC195" s="1"/>
      <c r="AD195" s="1"/>
      <c r="AE195" s="1"/>
      <c r="IQ195" s="86"/>
      <c r="IR195" s="86"/>
      <c r="IS195" s="86"/>
      <c r="IT195" s="86"/>
      <c r="IU195" s="86"/>
      <c r="IV195" s="86"/>
    </row>
    <row r="196" spans="1:256" s="73" customFormat="1" ht="12" thickTop="1">
      <c r="A196" s="1133" t="s">
        <v>185</v>
      </c>
      <c r="B196" s="363"/>
      <c r="C196" s="364"/>
      <c r="D196" s="364"/>
      <c r="E196" s="364"/>
      <c r="F196" s="364"/>
      <c r="G196" s="364"/>
      <c r="H196" s="365"/>
      <c r="I196" s="366"/>
      <c r="J196" s="366"/>
      <c r="K196" s="366"/>
      <c r="L196" s="367"/>
      <c r="M196" s="368"/>
      <c r="N196" s="369"/>
      <c r="O196" s="139"/>
      <c r="P196" s="370"/>
      <c r="Q196" s="371"/>
      <c r="R196" s="371"/>
      <c r="S196" s="142"/>
      <c r="T196" s="372"/>
      <c r="U196" s="784"/>
      <c r="V196" s="784"/>
      <c r="W196" s="219"/>
      <c r="X196" s="856"/>
      <c r="Y196" s="784"/>
      <c r="Z196" s="973"/>
      <c r="AA196" s="1"/>
      <c r="AB196" s="1"/>
      <c r="AC196" s="1"/>
      <c r="AD196" s="1"/>
      <c r="AE196" s="1"/>
      <c r="AF196" s="219"/>
      <c r="AG196" s="219"/>
      <c r="IQ196" s="86"/>
      <c r="IR196" s="86"/>
      <c r="IS196" s="86"/>
      <c r="IT196" s="86"/>
      <c r="IU196" s="86"/>
      <c r="IV196" s="86"/>
    </row>
    <row r="197" spans="1:256" s="73" customFormat="1" ht="12" thickBot="1">
      <c r="A197" s="1134"/>
      <c r="B197" s="373" t="s">
        <v>261</v>
      </c>
      <c r="C197" s="341">
        <v>0</v>
      </c>
      <c r="D197" s="342">
        <v>0</v>
      </c>
      <c r="E197" s="342">
        <v>0</v>
      </c>
      <c r="F197" s="342">
        <v>0</v>
      </c>
      <c r="G197" s="342">
        <v>0</v>
      </c>
      <c r="H197" s="45">
        <f>SUM(C197:G197)</f>
        <v>0</v>
      </c>
      <c r="I197" s="112"/>
      <c r="J197" s="112"/>
      <c r="K197" s="112"/>
      <c r="L197" s="47">
        <f>((C197*$C$5)+(D197*$D$5)+(E197*$E$5)+(F197*$F$5)+(G197*$G$5))</f>
        <v>0</v>
      </c>
      <c r="M197" s="304">
        <v>0</v>
      </c>
      <c r="N197" s="305">
        <v>0</v>
      </c>
      <c r="O197" s="49">
        <v>0</v>
      </c>
      <c r="P197" s="50">
        <f>(C197+D197+E197+F197+G197)*O197</f>
        <v>0</v>
      </c>
      <c r="Q197" s="51">
        <f>M197*O197</f>
        <v>0</v>
      </c>
      <c r="R197" s="51">
        <f>N197*O197</f>
        <v>0</v>
      </c>
      <c r="S197" s="52">
        <f>(L197+M197+N197)*O197</f>
        <v>0</v>
      </c>
      <c r="T197" s="841" t="s">
        <v>407</v>
      </c>
      <c r="U197" s="842" t="str">
        <f>IF($T197="RP",O197,"")</f>
        <v/>
      </c>
      <c r="V197" s="842" t="str">
        <f>IF($T197="RP",P197,"")</f>
        <v/>
      </c>
      <c r="W197" s="842" t="str">
        <f>IF($T197="RP",SUM(Q197:R197),"")</f>
        <v/>
      </c>
      <c r="X197" s="842">
        <f>IF($T197="RK",O197,"")</f>
        <v>0</v>
      </c>
      <c r="Y197" s="842">
        <f>IF($T197="RK",P197,"")</f>
        <v>0</v>
      </c>
      <c r="Z197" s="984">
        <f>IF($T197="Rk",SUM(Q197:R197),"")</f>
        <v>0</v>
      </c>
      <c r="AA197" s="1"/>
      <c r="AB197" s="1"/>
      <c r="AC197" s="1"/>
      <c r="AD197" s="1"/>
      <c r="AE197" s="1"/>
      <c r="IQ197" s="86"/>
      <c r="IR197" s="86"/>
      <c r="IS197" s="86"/>
      <c r="IT197" s="86"/>
      <c r="IU197" s="86"/>
      <c r="IV197" s="86"/>
    </row>
    <row r="198" spans="1:256" s="73" customFormat="1" ht="12.75" thickTop="1" thickBot="1">
      <c r="A198" s="997" t="s">
        <v>29</v>
      </c>
      <c r="B198" s="54"/>
      <c r="C198" s="55">
        <f t="shared" ref="C198:H198" si="55">SUM(C190:C197)</f>
        <v>0</v>
      </c>
      <c r="D198" s="55">
        <f t="shared" si="55"/>
        <v>0</v>
      </c>
      <c r="E198" s="55">
        <f t="shared" si="55"/>
        <v>0</v>
      </c>
      <c r="F198" s="55">
        <f t="shared" si="55"/>
        <v>0</v>
      </c>
      <c r="G198" s="55">
        <f t="shared" si="55"/>
        <v>0</v>
      </c>
      <c r="H198" s="55">
        <f t="shared" si="55"/>
        <v>0</v>
      </c>
      <c r="I198" s="230">
        <f>SUM(I190:I194)</f>
        <v>0</v>
      </c>
      <c r="J198" s="230">
        <f>SUM(J190:J194)</f>
        <v>0</v>
      </c>
      <c r="K198" s="230">
        <f>SUM(K190:K194)</f>
        <v>0</v>
      </c>
      <c r="L198" s="57">
        <f>SUM(L190:L197)</f>
        <v>0</v>
      </c>
      <c r="M198" s="57">
        <f>SUM(M190:M197)</f>
        <v>0</v>
      </c>
      <c r="N198" s="58">
        <f>SUM(N190:N197)</f>
        <v>0</v>
      </c>
      <c r="O198" s="59"/>
      <c r="P198" s="122">
        <f>SUM(P190:P197)</f>
        <v>0</v>
      </c>
      <c r="Q198" s="57">
        <f>SUM(Q190:Q197)</f>
        <v>0</v>
      </c>
      <c r="R198" s="57">
        <f>SUM(R190:R197)</f>
        <v>0</v>
      </c>
      <c r="S198" s="57">
        <f>SUM(S190:S197)</f>
        <v>0</v>
      </c>
      <c r="T198" s="57">
        <f t="shared" ref="T198:Z198" si="56">SUM(T190:T197)</f>
        <v>0</v>
      </c>
      <c r="U198" s="853">
        <f t="shared" si="56"/>
        <v>0</v>
      </c>
      <c r="V198" s="853">
        <f t="shared" si="56"/>
        <v>0</v>
      </c>
      <c r="W198" s="57">
        <f t="shared" si="56"/>
        <v>0</v>
      </c>
      <c r="X198" s="853">
        <f t="shared" si="56"/>
        <v>0</v>
      </c>
      <c r="Y198" s="853">
        <f t="shared" si="56"/>
        <v>0</v>
      </c>
      <c r="Z198" s="976">
        <f t="shared" si="56"/>
        <v>0</v>
      </c>
      <c r="AA198" s="1"/>
      <c r="AB198" s="1"/>
      <c r="AC198" s="1"/>
      <c r="AD198" s="1"/>
      <c r="AE198" s="1"/>
      <c r="IQ198" s="86"/>
      <c r="IR198" s="86"/>
      <c r="IS198" s="86"/>
      <c r="IT198" s="86"/>
      <c r="IU198" s="86"/>
      <c r="IV198" s="86"/>
    </row>
    <row r="199" spans="1:256" s="73" customFormat="1" ht="12" thickTop="1">
      <c r="A199" s="1143" t="s">
        <v>393</v>
      </c>
      <c r="B199" s="374"/>
      <c r="C199" s="375"/>
      <c r="D199" s="375"/>
      <c r="E199" s="375"/>
      <c r="F199" s="375"/>
      <c r="G199" s="375"/>
      <c r="H199" s="375"/>
      <c r="I199" s="376"/>
      <c r="J199" s="376"/>
      <c r="K199" s="376"/>
      <c r="L199" s="377"/>
      <c r="M199" s="377"/>
      <c r="N199" s="378"/>
      <c r="O199" s="379"/>
      <c r="P199" s="380"/>
      <c r="Q199" s="381"/>
      <c r="R199" s="381"/>
      <c r="S199" s="382"/>
      <c r="T199" s="85"/>
      <c r="U199" s="784"/>
      <c r="V199" s="784"/>
      <c r="X199" s="855"/>
      <c r="Y199" s="784"/>
      <c r="Z199" s="973"/>
      <c r="AA199" s="1"/>
      <c r="AB199" s="1"/>
      <c r="AC199" s="1"/>
      <c r="AD199" s="1"/>
      <c r="AE199" s="1"/>
      <c r="IQ199" s="86"/>
      <c r="IR199" s="86"/>
      <c r="IS199" s="86"/>
      <c r="IT199" s="86"/>
      <c r="IU199" s="86"/>
      <c r="IV199" s="86"/>
    </row>
    <row r="200" spans="1:256" s="73" customFormat="1">
      <c r="A200" s="1134"/>
      <c r="B200" s="383" t="s">
        <v>98</v>
      </c>
      <c r="C200" s="341"/>
      <c r="D200" s="342"/>
      <c r="E200" s="342"/>
      <c r="F200" s="342"/>
      <c r="G200" s="342"/>
      <c r="H200" s="342"/>
      <c r="I200" s="343"/>
      <c r="J200" s="343"/>
      <c r="K200" s="343"/>
      <c r="L200" s="304"/>
      <c r="M200" s="304"/>
      <c r="N200" s="305"/>
      <c r="O200" s="207"/>
      <c r="P200" s="344"/>
      <c r="Q200" s="345"/>
      <c r="R200" s="345"/>
      <c r="S200" s="346"/>
      <c r="T200" s="85"/>
      <c r="U200" s="784"/>
      <c r="V200" s="784"/>
      <c r="X200" s="855"/>
      <c r="Y200" s="784"/>
      <c r="Z200" s="973"/>
      <c r="AA200" s="1"/>
      <c r="AB200" s="1"/>
      <c r="AC200" s="1"/>
      <c r="AD200" s="1"/>
      <c r="AE200" s="1"/>
      <c r="IQ200" s="86"/>
      <c r="IR200" s="86"/>
      <c r="IS200" s="86"/>
      <c r="IT200" s="86"/>
      <c r="IU200" s="86"/>
      <c r="IV200" s="86"/>
    </row>
    <row r="201" spans="1:256" s="73" customFormat="1">
      <c r="A201" s="1131"/>
      <c r="B201" s="384" t="s">
        <v>273</v>
      </c>
      <c r="C201" s="348">
        <v>0</v>
      </c>
      <c r="D201" s="349">
        <v>1</v>
      </c>
      <c r="E201" s="349">
        <v>5</v>
      </c>
      <c r="F201" s="349">
        <v>1</v>
      </c>
      <c r="G201" s="349">
        <v>0</v>
      </c>
      <c r="H201" s="45">
        <f>SUM(C201:G201)</f>
        <v>7</v>
      </c>
      <c r="I201" s="46">
        <f>D201*$O201</f>
        <v>0</v>
      </c>
      <c r="J201" s="46">
        <f>E201*$O201</f>
        <v>0</v>
      </c>
      <c r="K201" s="46">
        <f>F201*$O201</f>
        <v>0</v>
      </c>
      <c r="L201" s="47">
        <f>((C201*$C$5)+(D201*$D$5)+(E201*$E$5)+(F201*$F$5)+(G201*$G$5))</f>
        <v>511.48999999999995</v>
      </c>
      <c r="M201" s="350">
        <v>0</v>
      </c>
      <c r="N201" s="351">
        <v>0</v>
      </c>
      <c r="O201" s="49">
        <v>0</v>
      </c>
      <c r="P201" s="50">
        <f>(C201+D201+E201+F201+G201)*O201</f>
        <v>0</v>
      </c>
      <c r="Q201" s="155">
        <f>M201*O201</f>
        <v>0</v>
      </c>
      <c r="R201" s="156">
        <f>N201*O201</f>
        <v>0</v>
      </c>
      <c r="S201" s="52">
        <f>(L201+M201+N201)*O201</f>
        <v>0</v>
      </c>
      <c r="T201" s="841" t="s">
        <v>407</v>
      </c>
      <c r="U201" s="842" t="str">
        <f>IF($T201="RP",O201,"")</f>
        <v/>
      </c>
      <c r="V201" s="842" t="str">
        <f>IF($T201="RP",P201,"")</f>
        <v/>
      </c>
      <c r="W201" s="842" t="str">
        <f>IF($T201="RP",SUM(Q201:R201),"")</f>
        <v/>
      </c>
      <c r="X201" s="842">
        <f>IF($T201="RK",O201,"")</f>
        <v>0</v>
      </c>
      <c r="Y201" s="842">
        <f>IF($T201="RK",P201,"")</f>
        <v>0</v>
      </c>
      <c r="Z201" s="984">
        <f>IF($T201="Rk",SUM(Q201:R201),"")</f>
        <v>0</v>
      </c>
      <c r="AA201" s="1"/>
      <c r="AB201" s="1"/>
      <c r="AC201" s="1"/>
      <c r="AD201" s="1"/>
      <c r="AE201" s="1"/>
      <c r="IQ201" s="86"/>
      <c r="IR201" s="86"/>
      <c r="IS201" s="86"/>
      <c r="IT201" s="86"/>
      <c r="IU201" s="86"/>
      <c r="IV201" s="86"/>
    </row>
    <row r="202" spans="1:256" s="73" customFormat="1">
      <c r="A202" s="1134"/>
      <c r="B202" s="385" t="s">
        <v>99</v>
      </c>
      <c r="C202" s="386"/>
      <c r="D202" s="342"/>
      <c r="E202" s="342"/>
      <c r="F202" s="342"/>
      <c r="G202" s="342"/>
      <c r="H202" s="342"/>
      <c r="I202" s="343"/>
      <c r="J202" s="343"/>
      <c r="K202" s="343"/>
      <c r="L202" s="304"/>
      <c r="M202" s="304"/>
      <c r="N202" s="305"/>
      <c r="O202" s="207"/>
      <c r="P202" s="344"/>
      <c r="Q202" s="345"/>
      <c r="R202" s="345"/>
      <c r="S202" s="346"/>
      <c r="T202" s="85"/>
      <c r="U202" s="784"/>
      <c r="V202" s="784"/>
      <c r="X202" s="855"/>
      <c r="Y202" s="784"/>
      <c r="Z202" s="973"/>
      <c r="AA202" s="1"/>
      <c r="AB202" s="1"/>
      <c r="AC202" s="1"/>
      <c r="AD202" s="1"/>
      <c r="AE202" s="1"/>
      <c r="IQ202" s="86"/>
      <c r="IR202" s="86"/>
      <c r="IS202" s="86"/>
      <c r="IT202" s="86"/>
      <c r="IU202" s="86"/>
      <c r="IV202" s="86"/>
    </row>
    <row r="203" spans="1:256" s="73" customFormat="1">
      <c r="A203" s="1133"/>
      <c r="B203" s="387" t="s">
        <v>50</v>
      </c>
      <c r="C203" s="388">
        <v>0</v>
      </c>
      <c r="D203" s="349">
        <v>0</v>
      </c>
      <c r="E203" s="349">
        <v>0</v>
      </c>
      <c r="F203" s="349">
        <v>0.5</v>
      </c>
      <c r="G203" s="349">
        <v>0</v>
      </c>
      <c r="H203" s="349">
        <v>0.5</v>
      </c>
      <c r="I203" s="389"/>
      <c r="J203" s="389"/>
      <c r="K203" s="389"/>
      <c r="L203" s="47">
        <f>((C203*$C$5)+(D203*$D$5)+(E203*$E$5)+(F203*$F$5)+(G203*$G$5))</f>
        <v>18.423999999999999</v>
      </c>
      <c r="M203" s="350">
        <v>0</v>
      </c>
      <c r="N203" s="351">
        <v>0</v>
      </c>
      <c r="O203" s="49">
        <v>0</v>
      </c>
      <c r="P203" s="50">
        <f t="shared" ref="P203:P208" si="57">(C203+D203+E203+F203+G203)*O203</f>
        <v>0</v>
      </c>
      <c r="Q203" s="155">
        <f>M203*O203</f>
        <v>0</v>
      </c>
      <c r="R203" s="156">
        <f>N203*O203</f>
        <v>0</v>
      </c>
      <c r="S203" s="52">
        <f>(L203+M203+N203)*O203</f>
        <v>0</v>
      </c>
      <c r="T203" s="841" t="s">
        <v>408</v>
      </c>
      <c r="U203" s="842">
        <f>IF($T203="RP",O203,"")</f>
        <v>0</v>
      </c>
      <c r="V203" s="842">
        <f>IF($T203="RP",P203,"")</f>
        <v>0</v>
      </c>
      <c r="W203" s="842">
        <f>IF($T203="RP",SUM(Q203:R203),"")</f>
        <v>0</v>
      </c>
      <c r="X203" s="842" t="str">
        <f>IF($T203="RK",O203,"")</f>
        <v/>
      </c>
      <c r="Y203" s="842" t="str">
        <f>IF($T203="RK",P203,"")</f>
        <v/>
      </c>
      <c r="Z203" s="984" t="str">
        <f>IF($T203="Rk",SUM(Q203:R203),"")</f>
        <v/>
      </c>
      <c r="AA203" s="1"/>
      <c r="AB203" s="1"/>
      <c r="AC203" s="1"/>
      <c r="AD203" s="1"/>
      <c r="AE203" s="1"/>
      <c r="IQ203" s="86"/>
      <c r="IR203" s="86"/>
      <c r="IS203" s="86"/>
      <c r="IT203" s="86"/>
      <c r="IU203" s="86"/>
      <c r="IV203" s="86"/>
    </row>
    <row r="204" spans="1:256" s="73" customFormat="1">
      <c r="A204" s="1134"/>
      <c r="B204" s="385" t="s">
        <v>302</v>
      </c>
      <c r="C204" s="390">
        <v>0</v>
      </c>
      <c r="D204" s="391">
        <v>0</v>
      </c>
      <c r="E204" s="391">
        <v>0</v>
      </c>
      <c r="F204" s="391">
        <v>0</v>
      </c>
      <c r="G204" s="391">
        <v>0</v>
      </c>
      <c r="H204" s="391">
        <v>2</v>
      </c>
      <c r="I204" s="392"/>
      <c r="J204" s="392"/>
      <c r="K204" s="392"/>
      <c r="L204" s="47">
        <f>((C204*$C$5)+(D204*$D$5)+(E204*$E$5)+(F204*$F$5)+(G204*$G$5))</f>
        <v>0</v>
      </c>
      <c r="M204" s="393">
        <v>0</v>
      </c>
      <c r="N204" s="394">
        <v>0</v>
      </c>
      <c r="O204" s="395">
        <v>0</v>
      </c>
      <c r="P204" s="50">
        <f t="shared" si="57"/>
        <v>0</v>
      </c>
      <c r="Q204" s="51">
        <f>M204*O204</f>
        <v>0</v>
      </c>
      <c r="R204" s="51">
        <f>N204*O204</f>
        <v>0</v>
      </c>
      <c r="S204" s="52">
        <f>(L204+M204+N204)*O204</f>
        <v>0</v>
      </c>
      <c r="T204" s="841" t="s">
        <v>407</v>
      </c>
      <c r="U204" s="842" t="str">
        <f>IF($T204="RP",O204,"")</f>
        <v/>
      </c>
      <c r="V204" s="842" t="str">
        <f>IF($T204="RP",P204,"")</f>
        <v/>
      </c>
      <c r="W204" s="842" t="str">
        <f>IF($T204="RP",SUM(Q204:R204),"")</f>
        <v/>
      </c>
      <c r="X204" s="842">
        <f>IF($T204="RK",O204,"")</f>
        <v>0</v>
      </c>
      <c r="Y204" s="842">
        <f>IF($T204="RK",P204,"")</f>
        <v>0</v>
      </c>
      <c r="Z204" s="984">
        <f>IF($T204="Rk",SUM(Q204:R204),"")</f>
        <v>0</v>
      </c>
      <c r="AA204" s="1"/>
      <c r="AB204" s="1"/>
      <c r="AC204" s="1"/>
      <c r="AD204" s="1"/>
      <c r="AE204" s="1"/>
      <c r="IQ204" s="86"/>
      <c r="IR204" s="86"/>
      <c r="IS204" s="86"/>
      <c r="IT204" s="86"/>
      <c r="IU204" s="86"/>
      <c r="IV204" s="86"/>
    </row>
    <row r="205" spans="1:256" s="73" customFormat="1">
      <c r="A205" s="1130"/>
      <c r="B205" s="396" t="s">
        <v>257</v>
      </c>
      <c r="C205" s="397"/>
      <c r="D205" s="398"/>
      <c r="E205" s="398"/>
      <c r="F205" s="398"/>
      <c r="G205" s="398"/>
      <c r="H205" s="103"/>
      <c r="I205" s="104"/>
      <c r="J205" s="104"/>
      <c r="K205" s="104"/>
      <c r="L205" s="105"/>
      <c r="M205" s="399"/>
      <c r="N205" s="400"/>
      <c r="O205" s="203"/>
      <c r="P205" s="204"/>
      <c r="Q205" s="205"/>
      <c r="R205" s="205"/>
      <c r="S205" s="206"/>
      <c r="T205" s="85"/>
      <c r="U205" s="784"/>
      <c r="V205" s="784"/>
      <c r="X205" s="855"/>
      <c r="Y205" s="784"/>
      <c r="Z205" s="973"/>
      <c r="AA205" s="1"/>
      <c r="AB205" s="1"/>
      <c r="AC205" s="1"/>
      <c r="AD205" s="1"/>
      <c r="AE205" s="1"/>
      <c r="IQ205" s="86"/>
      <c r="IR205" s="86"/>
      <c r="IS205" s="86"/>
      <c r="IT205" s="86"/>
      <c r="IU205" s="86"/>
      <c r="IV205" s="86"/>
    </row>
    <row r="206" spans="1:256" s="73" customFormat="1">
      <c r="A206" s="1133"/>
      <c r="B206" s="387" t="s">
        <v>100</v>
      </c>
      <c r="C206" s="388">
        <v>0</v>
      </c>
      <c r="D206" s="349">
        <v>0</v>
      </c>
      <c r="E206" s="349">
        <v>0</v>
      </c>
      <c r="F206" s="349">
        <v>0</v>
      </c>
      <c r="G206" s="349">
        <v>0</v>
      </c>
      <c r="H206" s="45">
        <v>1</v>
      </c>
      <c r="I206" s="46"/>
      <c r="J206" s="46"/>
      <c r="K206" s="46"/>
      <c r="L206" s="47">
        <f>((C206*$C$5)+(D206*$D$5)+(E206*$E$5)+(F206*$F$5)+(G206*$G$5))</f>
        <v>0</v>
      </c>
      <c r="M206" s="350">
        <v>0</v>
      </c>
      <c r="N206" s="351">
        <v>0</v>
      </c>
      <c r="O206" s="49">
        <v>0</v>
      </c>
      <c r="P206" s="50">
        <f t="shared" si="57"/>
        <v>0</v>
      </c>
      <c r="Q206" s="155">
        <f>M206*O206</f>
        <v>0</v>
      </c>
      <c r="R206" s="156">
        <f>N206*O206</f>
        <v>0</v>
      </c>
      <c r="S206" s="52">
        <f>(L206+M206+N206)*O206</f>
        <v>0</v>
      </c>
      <c r="T206" s="841" t="s">
        <v>407</v>
      </c>
      <c r="U206" s="842" t="str">
        <f>IF($T206="RP",O206,"")</f>
        <v/>
      </c>
      <c r="V206" s="842" t="str">
        <f>IF($T206="RP",P206,"")</f>
        <v/>
      </c>
      <c r="W206" s="842" t="str">
        <f>IF($T206="RP",SUM(Q206:R206),"")</f>
        <v/>
      </c>
      <c r="X206" s="842">
        <f>IF($T206="RK",O206,"")</f>
        <v>0</v>
      </c>
      <c r="Y206" s="842">
        <f>IF($T206="RK",P206,"")</f>
        <v>0</v>
      </c>
      <c r="Z206" s="984">
        <f>IF($T206="Rk",SUM(Q206:R206),"")</f>
        <v>0</v>
      </c>
      <c r="AA206" s="1"/>
      <c r="AB206" s="1"/>
      <c r="AC206" s="1"/>
      <c r="AD206" s="1"/>
      <c r="AE206" s="1"/>
      <c r="IQ206" s="86"/>
      <c r="IR206" s="86"/>
      <c r="IS206" s="86"/>
      <c r="IT206" s="86"/>
      <c r="IU206" s="86"/>
      <c r="IV206" s="86"/>
    </row>
    <row r="207" spans="1:256" s="73" customFormat="1">
      <c r="A207" s="1134"/>
      <c r="B207" s="385" t="s">
        <v>101</v>
      </c>
      <c r="C207" s="341"/>
      <c r="D207" s="342"/>
      <c r="E207" s="342"/>
      <c r="F207" s="342"/>
      <c r="G207" s="342"/>
      <c r="H207" s="111"/>
      <c r="I207" s="112"/>
      <c r="J207" s="112"/>
      <c r="K207" s="112"/>
      <c r="L207" s="113"/>
      <c r="M207" s="304"/>
      <c r="N207" s="305"/>
      <c r="O207" s="207"/>
      <c r="P207" s="182"/>
      <c r="Q207" s="51"/>
      <c r="R207" s="51"/>
      <c r="S207" s="183"/>
      <c r="T207" s="85"/>
      <c r="U207" s="784"/>
      <c r="V207" s="784"/>
      <c r="X207" s="855"/>
      <c r="Y207" s="784"/>
      <c r="Z207" s="973"/>
      <c r="AA207" s="1"/>
      <c r="AB207" s="1"/>
      <c r="AC207" s="1"/>
      <c r="AD207" s="1"/>
      <c r="AE207" s="1"/>
      <c r="IQ207" s="86"/>
      <c r="IR207" s="86"/>
      <c r="IS207" s="86"/>
      <c r="IT207" s="86"/>
      <c r="IU207" s="86"/>
      <c r="IV207" s="86"/>
    </row>
    <row r="208" spans="1:256" s="73" customFormat="1" ht="12" thickBot="1">
      <c r="A208" s="1134"/>
      <c r="B208" s="373" t="s">
        <v>100</v>
      </c>
      <c r="C208" s="341">
        <v>0</v>
      </c>
      <c r="D208" s="342">
        <v>0</v>
      </c>
      <c r="E208" s="342">
        <v>0</v>
      </c>
      <c r="F208" s="342">
        <v>0</v>
      </c>
      <c r="G208" s="342">
        <v>0</v>
      </c>
      <c r="H208" s="111">
        <v>1</v>
      </c>
      <c r="I208" s="112"/>
      <c r="J208" s="112"/>
      <c r="K208" s="112"/>
      <c r="L208" s="47">
        <f>((C208*$C$5)+(D208*$D$5)+(E208*$E$5)+(F208*$F$5)+(G208*$G$5))</f>
        <v>0</v>
      </c>
      <c r="M208" s="304">
        <v>0</v>
      </c>
      <c r="N208" s="305">
        <v>2000</v>
      </c>
      <c r="O208" s="207">
        <f>0</f>
        <v>0</v>
      </c>
      <c r="P208" s="50">
        <f t="shared" si="57"/>
        <v>0</v>
      </c>
      <c r="Q208" s="51">
        <f>M208*O208</f>
        <v>0</v>
      </c>
      <c r="R208" s="51">
        <f>N208*O208</f>
        <v>0</v>
      </c>
      <c r="S208" s="52">
        <f>(L208+M208+N208)*O208</f>
        <v>0</v>
      </c>
      <c r="T208" s="841" t="s">
        <v>407</v>
      </c>
      <c r="U208" s="842" t="str">
        <f>IF($T208="RP",O208,"")</f>
        <v/>
      </c>
      <c r="V208" s="842" t="str">
        <f>IF($T208="RP",P208,"")</f>
        <v/>
      </c>
      <c r="W208" s="842" t="str">
        <f>IF($T208="RP",SUM(Q208:R208),"")</f>
        <v/>
      </c>
      <c r="X208" s="842">
        <f>IF($T208="RK",O208,"")</f>
        <v>0</v>
      </c>
      <c r="Y208" s="842">
        <f>IF($T208="RK",P208,"")</f>
        <v>0</v>
      </c>
      <c r="Z208" s="984">
        <f>IF($T208="Rk",SUM(Q208:R208),"")</f>
        <v>0</v>
      </c>
      <c r="AA208" s="1"/>
      <c r="AB208" s="1"/>
      <c r="AC208" s="1"/>
      <c r="AD208" s="1"/>
      <c r="AE208" s="1"/>
      <c r="IQ208" s="86"/>
      <c r="IR208" s="86"/>
      <c r="IS208" s="86"/>
      <c r="IT208" s="86"/>
      <c r="IU208" s="86"/>
      <c r="IV208" s="86"/>
    </row>
    <row r="209" spans="1:256" s="73" customFormat="1" ht="12.75" thickTop="1" thickBot="1">
      <c r="A209" s="997" t="s">
        <v>29</v>
      </c>
      <c r="B209" s="54"/>
      <c r="C209" s="55">
        <f t="shared" ref="C209:H209" si="58">SUM(C201:C208)</f>
        <v>0</v>
      </c>
      <c r="D209" s="55">
        <f t="shared" si="58"/>
        <v>1</v>
      </c>
      <c r="E209" s="55">
        <f t="shared" si="58"/>
        <v>5</v>
      </c>
      <c r="F209" s="55">
        <f t="shared" si="58"/>
        <v>1.5</v>
      </c>
      <c r="G209" s="55">
        <f t="shared" si="58"/>
        <v>0</v>
      </c>
      <c r="H209" s="55">
        <f t="shared" si="58"/>
        <v>11.5</v>
      </c>
      <c r="I209" s="230">
        <f>SUM(I201:I205)</f>
        <v>0</v>
      </c>
      <c r="J209" s="230">
        <f>SUM(J201:J205)</f>
        <v>0</v>
      </c>
      <c r="K209" s="230">
        <f>SUM(K201:K205)</f>
        <v>0</v>
      </c>
      <c r="L209" s="57">
        <f>SUM(L201:L208)</f>
        <v>529.91399999999999</v>
      </c>
      <c r="M209" s="57">
        <f>SUM(M201:M208)</f>
        <v>0</v>
      </c>
      <c r="N209" s="58">
        <f>SUM(N201:N208)</f>
        <v>2000</v>
      </c>
      <c r="O209" s="59"/>
      <c r="P209" s="122">
        <f>SUM(P201:P208)</f>
        <v>0</v>
      </c>
      <c r="Q209" s="57">
        <f>SUM(Q201:Q208)</f>
        <v>0</v>
      </c>
      <c r="R209" s="57">
        <f>SUM(R201:R208)</f>
        <v>0</v>
      </c>
      <c r="S209" s="57">
        <f>SUM(S201:S208)</f>
        <v>0</v>
      </c>
      <c r="T209" s="57">
        <f t="shared" ref="T209:Z209" si="59">SUM(T201:T208)</f>
        <v>0</v>
      </c>
      <c r="U209" s="853">
        <f t="shared" si="59"/>
        <v>0</v>
      </c>
      <c r="V209" s="853">
        <f t="shared" si="59"/>
        <v>0</v>
      </c>
      <c r="W209" s="57">
        <f t="shared" si="59"/>
        <v>0</v>
      </c>
      <c r="X209" s="853">
        <f t="shared" si="59"/>
        <v>0</v>
      </c>
      <c r="Y209" s="853">
        <f t="shared" si="59"/>
        <v>0</v>
      </c>
      <c r="Z209" s="976">
        <f t="shared" si="59"/>
        <v>0</v>
      </c>
      <c r="AA209" s="1"/>
      <c r="AB209" s="1"/>
      <c r="AC209" s="1"/>
      <c r="AD209" s="1"/>
      <c r="AE209" s="1"/>
      <c r="IQ209" s="86"/>
      <c r="IR209" s="86"/>
      <c r="IS209" s="86"/>
      <c r="IT209" s="86"/>
      <c r="IU209" s="86"/>
      <c r="IV209" s="86"/>
    </row>
    <row r="210" spans="1:256" s="73" customFormat="1" ht="12" thickTop="1">
      <c r="A210" s="1135" t="s">
        <v>151</v>
      </c>
      <c r="B210" s="402"/>
      <c r="C210" s="403"/>
      <c r="D210" s="403"/>
      <c r="E210" s="403"/>
      <c r="F210" s="403"/>
      <c r="G210" s="403"/>
      <c r="H210" s="403"/>
      <c r="I210" s="404"/>
      <c r="J210" s="404"/>
      <c r="K210" s="404"/>
      <c r="L210" s="405"/>
      <c r="M210" s="405"/>
      <c r="N210" s="406"/>
      <c r="O210" s="407"/>
      <c r="P210" s="408"/>
      <c r="Q210" s="409"/>
      <c r="R210" s="409"/>
      <c r="S210" s="410"/>
      <c r="T210" s="85"/>
      <c r="U210" s="784"/>
      <c r="V210" s="784"/>
      <c r="X210" s="855"/>
      <c r="Y210" s="784"/>
      <c r="Z210" s="973"/>
      <c r="AA210" s="1"/>
      <c r="AB210" s="1"/>
      <c r="AC210" s="1"/>
      <c r="AD210" s="1"/>
      <c r="AE210" s="1"/>
      <c r="IQ210" s="86"/>
      <c r="IR210" s="86"/>
      <c r="IS210" s="86"/>
      <c r="IT210" s="86"/>
      <c r="IU210" s="86"/>
      <c r="IV210" s="86"/>
    </row>
    <row r="211" spans="1:256" s="73" customFormat="1">
      <c r="A211" s="1144"/>
      <c r="B211" s="411" t="s">
        <v>102</v>
      </c>
      <c r="C211" s="412"/>
      <c r="D211" s="398"/>
      <c r="E211" s="398"/>
      <c r="F211" s="398"/>
      <c r="G211" s="398"/>
      <c r="H211" s="398"/>
      <c r="I211" s="413"/>
      <c r="J211" s="413"/>
      <c r="K211" s="413"/>
      <c r="L211" s="399"/>
      <c r="M211" s="399"/>
      <c r="N211" s="400"/>
      <c r="O211" s="203"/>
      <c r="P211" s="414"/>
      <c r="Q211" s="415"/>
      <c r="R211" s="415"/>
      <c r="S211" s="416"/>
      <c r="T211" s="844"/>
      <c r="U211" s="835"/>
      <c r="V211" s="835"/>
      <c r="W211" s="229"/>
      <c r="X211" s="854"/>
      <c r="Y211" s="835"/>
      <c r="Z211" s="982"/>
      <c r="AA211" s="1"/>
      <c r="AB211" s="1"/>
      <c r="AC211" s="1"/>
      <c r="AD211" s="1"/>
      <c r="AE211" s="1"/>
      <c r="IQ211" s="86"/>
      <c r="IR211" s="86"/>
      <c r="IS211" s="86"/>
      <c r="IT211" s="86"/>
      <c r="IU211" s="86"/>
      <c r="IV211" s="86"/>
    </row>
    <row r="212" spans="1:256" s="73" customFormat="1">
      <c r="A212" s="1131"/>
      <c r="B212" s="347" t="s">
        <v>103</v>
      </c>
      <c r="C212" s="348">
        <v>0</v>
      </c>
      <c r="D212" s="349">
        <v>8</v>
      </c>
      <c r="E212" s="349">
        <v>20</v>
      </c>
      <c r="F212" s="349">
        <v>10</v>
      </c>
      <c r="G212" s="349">
        <v>80</v>
      </c>
      <c r="H212" s="45">
        <f>SUM(C212:G212)</f>
        <v>118</v>
      </c>
      <c r="I212" s="46">
        <f>D212*$O212</f>
        <v>51.2</v>
      </c>
      <c r="J212" s="46">
        <f>E212*$O212</f>
        <v>128</v>
      </c>
      <c r="K212" s="46">
        <f>F212*$O212</f>
        <v>64</v>
      </c>
      <c r="L212" s="47">
        <f>((C212*$C$5)+(D212*$D$5)+(E212*$E$5)+(F212*$F$5)+(G212*$G$5))</f>
        <v>10296.776</v>
      </c>
      <c r="M212" s="350">
        <v>0</v>
      </c>
      <c r="N212" s="351">
        <v>8</v>
      </c>
      <c r="O212" s="756">
        <f>P10*0.1</f>
        <v>6.4</v>
      </c>
      <c r="P212" s="50">
        <f>(C212+D212+E212+F212+G212)*O212</f>
        <v>755.2</v>
      </c>
      <c r="Q212" s="155">
        <f>M212*O212</f>
        <v>0</v>
      </c>
      <c r="R212" s="156">
        <f>N212*O212</f>
        <v>51.2</v>
      </c>
      <c r="S212" s="52">
        <f>(L212+M212+N212)*O212</f>
        <v>65950.566399999996</v>
      </c>
      <c r="T212" s="841" t="s">
        <v>408</v>
      </c>
      <c r="U212" s="842">
        <f>IF($T212="RP",O212,"")</f>
        <v>6.4</v>
      </c>
      <c r="V212" s="842">
        <f>IF($T212="RP",P212,"")</f>
        <v>755.2</v>
      </c>
      <c r="W212" s="842">
        <f>IF($T212="RP",SUM(Q212:R212),"")</f>
        <v>51.2</v>
      </c>
      <c r="X212" s="842" t="str">
        <f>IF($T212="RK",O212,"")</f>
        <v/>
      </c>
      <c r="Y212" s="842" t="str">
        <f>IF($T212="RK",P212,"")</f>
        <v/>
      </c>
      <c r="Z212" s="984" t="str">
        <f>IF($T212="Rk",SUM(Q212:R212),"")</f>
        <v/>
      </c>
      <c r="AA212" s="1"/>
      <c r="AB212" s="1"/>
      <c r="AC212" s="1"/>
      <c r="AD212" s="1"/>
      <c r="AE212" s="1"/>
      <c r="IQ212" s="86"/>
      <c r="IR212" s="86"/>
      <c r="IS212" s="86"/>
      <c r="IT212" s="86"/>
      <c r="IU212" s="86"/>
      <c r="IV212" s="86"/>
    </row>
    <row r="213" spans="1:256" s="73" customFormat="1" ht="12" thickBot="1">
      <c r="A213" s="1134"/>
      <c r="B213" s="340" t="s">
        <v>104</v>
      </c>
      <c r="C213" s="417">
        <v>0</v>
      </c>
      <c r="D213" s="417">
        <v>4</v>
      </c>
      <c r="E213" s="417">
        <v>24</v>
      </c>
      <c r="F213" s="417">
        <v>2</v>
      </c>
      <c r="G213" s="417">
        <v>0</v>
      </c>
      <c r="H213" s="45">
        <f>SUM(C213:G213)</f>
        <v>30</v>
      </c>
      <c r="I213" s="418"/>
      <c r="J213" s="418"/>
      <c r="K213" s="418"/>
      <c r="L213" s="47">
        <f>((C213*$C$5)+(D213*$D$5)+(E213*$E$5)+(F213*$F$5)+(G213*$G$5))</f>
        <v>2275.5039999999995</v>
      </c>
      <c r="M213" s="419">
        <v>0</v>
      </c>
      <c r="N213" s="420">
        <v>8</v>
      </c>
      <c r="O213" s="207">
        <v>0</v>
      </c>
      <c r="P213" s="50">
        <f>(C213+D213+E213+F213+G213)*O213</f>
        <v>0</v>
      </c>
      <c r="Q213" s="51">
        <f>M213*O213</f>
        <v>0</v>
      </c>
      <c r="R213" s="51">
        <f>N213*O213</f>
        <v>0</v>
      </c>
      <c r="S213" s="52">
        <f>(L213+M213+N213)*O213</f>
        <v>0</v>
      </c>
      <c r="T213" s="841" t="s">
        <v>408</v>
      </c>
      <c r="U213" s="842">
        <f>IF($T213="RP",O213,"")</f>
        <v>0</v>
      </c>
      <c r="V213" s="842">
        <f>IF($T213="RP",P213,"")</f>
        <v>0</v>
      </c>
      <c r="W213" s="842">
        <f>IF($T213="RP",SUM(Q213:R213),"")</f>
        <v>0</v>
      </c>
      <c r="X213" s="842" t="str">
        <f>IF($T213="RK",O213,"")</f>
        <v/>
      </c>
      <c r="Y213" s="842" t="str">
        <f>IF($T213="RK",P213,"")</f>
        <v/>
      </c>
      <c r="Z213" s="984" t="str">
        <f>IF($T213="Rk",SUM(Q213:R213),"")</f>
        <v/>
      </c>
      <c r="AA213" s="1"/>
      <c r="AB213" s="1"/>
      <c r="AC213" s="1"/>
      <c r="AD213" s="1"/>
      <c r="AE213" s="1"/>
      <c r="IQ213" s="86"/>
      <c r="IR213" s="86"/>
      <c r="IS213" s="86"/>
      <c r="IT213" s="86"/>
      <c r="IU213" s="86"/>
      <c r="IV213" s="86"/>
    </row>
    <row r="214" spans="1:256" s="73" customFormat="1" ht="12.75" thickTop="1" thickBot="1">
      <c r="A214" s="1132" t="s">
        <v>29</v>
      </c>
      <c r="B214" s="421"/>
      <c r="C214" s="173">
        <f t="shared" ref="C214:H214" si="60">SUM(C212:C213)</f>
        <v>0</v>
      </c>
      <c r="D214" s="173">
        <f t="shared" si="60"/>
        <v>12</v>
      </c>
      <c r="E214" s="173">
        <f t="shared" si="60"/>
        <v>44</v>
      </c>
      <c r="F214" s="173">
        <f t="shared" si="60"/>
        <v>12</v>
      </c>
      <c r="G214" s="173">
        <f t="shared" si="60"/>
        <v>80</v>
      </c>
      <c r="H214" s="173">
        <f t="shared" si="60"/>
        <v>148</v>
      </c>
      <c r="I214" s="275">
        <f>I212</f>
        <v>51.2</v>
      </c>
      <c r="J214" s="275">
        <f>J212</f>
        <v>128</v>
      </c>
      <c r="K214" s="275">
        <f>K212</f>
        <v>64</v>
      </c>
      <c r="L214" s="72">
        <f>SUM(L212:L213)</f>
        <v>12572.279999999999</v>
      </c>
      <c r="M214" s="72">
        <f>SUM(M212:M213)</f>
        <v>0</v>
      </c>
      <c r="N214" s="69">
        <f>SUM(N212:N213)</f>
        <v>16</v>
      </c>
      <c r="O214" s="59"/>
      <c r="P214" s="176">
        <f>SUM(P212:P213)</f>
        <v>755.2</v>
      </c>
      <c r="Q214" s="72">
        <f>SUM(Q212:Q213)</f>
        <v>0</v>
      </c>
      <c r="R214" s="72">
        <f>SUM(R212:R213)</f>
        <v>51.2</v>
      </c>
      <c r="S214" s="72">
        <f>SUM(S212:S213)</f>
        <v>65950.566399999996</v>
      </c>
      <c r="T214" s="72"/>
      <c r="U214" s="850">
        <f t="shared" ref="U214:Z214" si="61">SUM(U212:U213)</f>
        <v>6.4</v>
      </c>
      <c r="V214" s="850">
        <f t="shared" si="61"/>
        <v>755.2</v>
      </c>
      <c r="W214" s="72">
        <f t="shared" si="61"/>
        <v>51.2</v>
      </c>
      <c r="X214" s="850">
        <f t="shared" si="61"/>
        <v>0</v>
      </c>
      <c r="Y214" s="850">
        <f t="shared" si="61"/>
        <v>0</v>
      </c>
      <c r="Z214" s="988">
        <f t="shared" si="61"/>
        <v>0</v>
      </c>
      <c r="AA214" s="1"/>
      <c r="AB214" s="1"/>
      <c r="AC214" s="1"/>
      <c r="AD214" s="1"/>
      <c r="AE214" s="1"/>
      <c r="IQ214" s="86"/>
      <c r="IR214" s="86"/>
      <c r="IS214" s="86"/>
      <c r="IT214" s="86"/>
      <c r="IU214" s="86"/>
      <c r="IV214" s="86"/>
    </row>
    <row r="215" spans="1:256" s="73" customFormat="1" ht="12" thickTop="1">
      <c r="A215" s="1135" t="s">
        <v>188</v>
      </c>
      <c r="B215" s="402"/>
      <c r="C215" s="403"/>
      <c r="D215" s="403"/>
      <c r="E215" s="403"/>
      <c r="F215" s="403"/>
      <c r="G215" s="403"/>
      <c r="H215" s="403"/>
      <c r="I215" s="404"/>
      <c r="J215" s="404"/>
      <c r="K215" s="404"/>
      <c r="L215" s="405"/>
      <c r="M215" s="405"/>
      <c r="N215" s="406"/>
      <c r="O215" s="407"/>
      <c r="P215" s="408"/>
      <c r="Q215" s="409"/>
      <c r="R215" s="409"/>
      <c r="S215" s="410"/>
      <c r="T215" s="85"/>
      <c r="U215" s="784"/>
      <c r="V215" s="784"/>
      <c r="X215" s="855"/>
      <c r="Y215" s="784"/>
      <c r="Z215" s="973"/>
      <c r="AA215" s="1"/>
      <c r="AB215" s="1"/>
      <c r="AC215" s="1"/>
      <c r="AD215" s="1"/>
      <c r="AE215" s="1"/>
      <c r="IQ215" s="86"/>
      <c r="IR215" s="86"/>
      <c r="IS215" s="86"/>
      <c r="IT215" s="86"/>
      <c r="IU215" s="86"/>
      <c r="IV215" s="86"/>
    </row>
    <row r="216" spans="1:256" s="73" customFormat="1">
      <c r="A216" s="1144"/>
      <c r="B216" s="411" t="s">
        <v>102</v>
      </c>
      <c r="C216" s="412"/>
      <c r="D216" s="398"/>
      <c r="E216" s="398"/>
      <c r="F216" s="398"/>
      <c r="G216" s="398"/>
      <c r="H216" s="398"/>
      <c r="I216" s="413"/>
      <c r="J216" s="413"/>
      <c r="K216" s="413"/>
      <c r="L216" s="399"/>
      <c r="M216" s="399"/>
      <c r="N216" s="400"/>
      <c r="O216" s="203"/>
      <c r="P216" s="414"/>
      <c r="Q216" s="415"/>
      <c r="R216" s="415"/>
      <c r="S216" s="416"/>
      <c r="T216" s="844"/>
      <c r="U216" s="835"/>
      <c r="V216" s="835"/>
      <c r="W216" s="229"/>
      <c r="X216" s="854"/>
      <c r="Y216" s="835"/>
      <c r="Z216" s="982"/>
      <c r="AA216" s="1"/>
      <c r="AB216" s="1"/>
      <c r="AC216" s="1"/>
      <c r="AD216" s="1"/>
      <c r="AE216" s="1"/>
      <c r="IQ216" s="86"/>
      <c r="IR216" s="86"/>
      <c r="IS216" s="86"/>
      <c r="IT216" s="86"/>
      <c r="IU216" s="86"/>
      <c r="IV216" s="86"/>
    </row>
    <row r="217" spans="1:256" s="73" customFormat="1">
      <c r="A217" s="1131"/>
      <c r="B217" s="347" t="s">
        <v>103</v>
      </c>
      <c r="C217" s="348">
        <v>0</v>
      </c>
      <c r="D217" s="349">
        <v>8</v>
      </c>
      <c r="E217" s="349">
        <v>20</v>
      </c>
      <c r="F217" s="349">
        <v>10</v>
      </c>
      <c r="G217" s="349">
        <v>80</v>
      </c>
      <c r="H217" s="45">
        <f>SUM(C217:G217)</f>
        <v>118</v>
      </c>
      <c r="I217" s="46">
        <f>D217*$O217</f>
        <v>0</v>
      </c>
      <c r="J217" s="46">
        <f>E217*$O217</f>
        <v>0</v>
      </c>
      <c r="K217" s="46">
        <f>F217*$O217</f>
        <v>0</v>
      </c>
      <c r="L217" s="47">
        <f>((C217*$C$5)+(D217*$D$5)+(E217*$E$5)+(F217*$F$5)+(G217*$G$5))</f>
        <v>10296.776</v>
      </c>
      <c r="M217" s="350">
        <v>0</v>
      </c>
      <c r="N217" s="351">
        <v>8</v>
      </c>
      <c r="O217" s="49">
        <v>0</v>
      </c>
      <c r="P217" s="50">
        <f>(C217+D217+E217+F217+G217)*O217</f>
        <v>0</v>
      </c>
      <c r="Q217" s="155">
        <f>M217*O217</f>
        <v>0</v>
      </c>
      <c r="R217" s="156">
        <f>N217*O217</f>
        <v>0</v>
      </c>
      <c r="S217" s="52">
        <f>(L217+M217+N217)*O217</f>
        <v>0</v>
      </c>
      <c r="T217" s="841" t="s">
        <v>408</v>
      </c>
      <c r="U217" s="842">
        <f>IF($T217="RP",O217,"")</f>
        <v>0</v>
      </c>
      <c r="V217" s="842">
        <f>IF($T217="RP",P217,"")</f>
        <v>0</v>
      </c>
      <c r="W217" s="842">
        <f>IF($T217="RP",SUM(Q217:R217),"")</f>
        <v>0</v>
      </c>
      <c r="X217" s="842" t="str">
        <f>IF($T217="RK",O217,"")</f>
        <v/>
      </c>
      <c r="Y217" s="842" t="str">
        <f>IF($T217="RK",P217,"")</f>
        <v/>
      </c>
      <c r="Z217" s="984" t="str">
        <f>IF($T217="Rk",SUM(Q217:R217),"")</f>
        <v/>
      </c>
      <c r="AA217" s="1"/>
      <c r="AB217" s="1"/>
      <c r="AC217" s="1"/>
      <c r="AD217" s="1"/>
      <c r="AE217" s="1"/>
      <c r="IQ217" s="86"/>
      <c r="IR217" s="86"/>
      <c r="IS217" s="86"/>
      <c r="IT217" s="86"/>
      <c r="IU217" s="86"/>
      <c r="IV217" s="86"/>
    </row>
    <row r="218" spans="1:256" s="73" customFormat="1" ht="12" thickBot="1">
      <c r="A218" s="1134"/>
      <c r="B218" s="340" t="s">
        <v>104</v>
      </c>
      <c r="C218" s="417">
        <v>0</v>
      </c>
      <c r="D218" s="417">
        <v>4</v>
      </c>
      <c r="E218" s="417">
        <v>24</v>
      </c>
      <c r="F218" s="417">
        <v>2</v>
      </c>
      <c r="G218" s="417">
        <v>0</v>
      </c>
      <c r="H218" s="45">
        <f>SUM(C218:G218)</f>
        <v>30</v>
      </c>
      <c r="I218" s="418"/>
      <c r="J218" s="418"/>
      <c r="K218" s="418"/>
      <c r="L218" s="47">
        <f>((C218*$C$5)+(D218*$D$5)+(E218*$E$5)+(F218*$F$5)+(G218*$G$5))</f>
        <v>2275.5039999999995</v>
      </c>
      <c r="M218" s="419">
        <v>0</v>
      </c>
      <c r="N218" s="420">
        <v>8</v>
      </c>
      <c r="O218" s="207">
        <v>0</v>
      </c>
      <c r="P218" s="50">
        <f>(C218+D218+E218+F218+G218)*O218</f>
        <v>0</v>
      </c>
      <c r="Q218" s="51">
        <f>M218*O218</f>
        <v>0</v>
      </c>
      <c r="R218" s="51">
        <f>N218*O218</f>
        <v>0</v>
      </c>
      <c r="S218" s="52">
        <f>(L218+M218+N218)*O218</f>
        <v>0</v>
      </c>
      <c r="T218" s="85" t="s">
        <v>408</v>
      </c>
      <c r="U218" s="842">
        <f>IF($T218="RP",O218,"")</f>
        <v>0</v>
      </c>
      <c r="V218" s="842">
        <f>IF($T218="RP",P218,"")</f>
        <v>0</v>
      </c>
      <c r="W218" s="842">
        <f>IF($T218="RP",SUM(Q218:R218),"")</f>
        <v>0</v>
      </c>
      <c r="X218" s="842" t="str">
        <f>IF($T218="RK",O218,"")</f>
        <v/>
      </c>
      <c r="Y218" s="842" t="str">
        <f>IF($T218="RK",P218,"")</f>
        <v/>
      </c>
      <c r="Z218" s="984" t="str">
        <f>IF($T218="Rk",SUM(Q218:R218),"")</f>
        <v/>
      </c>
      <c r="AA218" s="1"/>
      <c r="AB218" s="1"/>
      <c r="AC218" s="1"/>
      <c r="AD218" s="1"/>
      <c r="AE218" s="1"/>
      <c r="IQ218" s="86"/>
      <c r="IR218" s="86"/>
      <c r="IS218" s="86"/>
      <c r="IT218" s="86"/>
      <c r="IU218" s="86"/>
      <c r="IV218" s="86"/>
    </row>
    <row r="219" spans="1:256" s="73" customFormat="1" ht="12.75" thickTop="1" thickBot="1">
      <c r="A219" s="1132" t="s">
        <v>29</v>
      </c>
      <c r="B219" s="421"/>
      <c r="C219" s="173">
        <f t="shared" ref="C219:H219" si="62">SUM(C217:C218)</f>
        <v>0</v>
      </c>
      <c r="D219" s="173">
        <f t="shared" si="62"/>
        <v>12</v>
      </c>
      <c r="E219" s="173">
        <f t="shared" si="62"/>
        <v>44</v>
      </c>
      <c r="F219" s="173">
        <f t="shared" si="62"/>
        <v>12</v>
      </c>
      <c r="G219" s="173">
        <f t="shared" si="62"/>
        <v>80</v>
      </c>
      <c r="H219" s="173">
        <f t="shared" si="62"/>
        <v>148</v>
      </c>
      <c r="I219" s="275">
        <f>I217</f>
        <v>0</v>
      </c>
      <c r="J219" s="275">
        <f>J217</f>
        <v>0</v>
      </c>
      <c r="K219" s="275">
        <f>K217</f>
        <v>0</v>
      </c>
      <c r="L219" s="72">
        <f>SUM(L217:L218)</f>
        <v>12572.279999999999</v>
      </c>
      <c r="M219" s="72">
        <f>SUM(M217:M218)</f>
        <v>0</v>
      </c>
      <c r="N219" s="69">
        <f>SUM(N217:N218)</f>
        <v>16</v>
      </c>
      <c r="O219" s="59"/>
      <c r="P219" s="176">
        <f>SUM(P217:P218)</f>
        <v>0</v>
      </c>
      <c r="Q219" s="72">
        <f>SUM(Q217:Q218)</f>
        <v>0</v>
      </c>
      <c r="R219" s="72">
        <f>SUM(R217:R218)</f>
        <v>0</v>
      </c>
      <c r="S219" s="72">
        <f>SUM(S217:S218)</f>
        <v>0</v>
      </c>
      <c r="T219" s="72"/>
      <c r="U219" s="850">
        <f t="shared" ref="U219:Z219" si="63">SUM(U217:U218)</f>
        <v>0</v>
      </c>
      <c r="V219" s="850">
        <f t="shared" si="63"/>
        <v>0</v>
      </c>
      <c r="W219" s="72">
        <f t="shared" si="63"/>
        <v>0</v>
      </c>
      <c r="X219" s="850">
        <f t="shared" si="63"/>
        <v>0</v>
      </c>
      <c r="Y219" s="850">
        <f t="shared" si="63"/>
        <v>0</v>
      </c>
      <c r="Z219" s="988">
        <f t="shared" si="63"/>
        <v>0</v>
      </c>
      <c r="AA219" s="1"/>
      <c r="AB219" s="1"/>
      <c r="AC219" s="1"/>
      <c r="AD219" s="1"/>
      <c r="AE219" s="1"/>
      <c r="IQ219" s="86"/>
      <c r="IR219" s="86"/>
      <c r="IS219" s="86"/>
      <c r="IT219" s="86"/>
      <c r="IU219" s="86"/>
      <c r="IV219" s="86"/>
    </row>
    <row r="220" spans="1:256" s="833" customFormat="1" ht="12" thickTop="1">
      <c r="A220" s="1145" t="s">
        <v>109</v>
      </c>
      <c r="B220" s="422"/>
      <c r="C220" s="423"/>
      <c r="D220" s="424"/>
      <c r="E220" s="424"/>
      <c r="F220" s="424"/>
      <c r="G220" s="424"/>
      <c r="H220" s="424"/>
      <c r="I220" s="425"/>
      <c r="J220" s="425"/>
      <c r="K220" s="425"/>
      <c r="L220" s="426"/>
      <c r="M220" s="426"/>
      <c r="N220" s="427"/>
      <c r="O220" s="428"/>
      <c r="P220" s="429"/>
      <c r="Q220" s="430"/>
      <c r="R220" s="430"/>
      <c r="S220" s="431"/>
      <c r="T220" s="85"/>
      <c r="U220" s="784"/>
      <c r="V220" s="784"/>
      <c r="X220" s="855"/>
      <c r="Y220" s="784"/>
      <c r="Z220" s="973"/>
      <c r="AA220" s="1"/>
      <c r="AB220" s="1"/>
      <c r="AC220" s="1"/>
      <c r="AD220" s="1"/>
      <c r="AE220" s="1"/>
      <c r="AF220" s="432"/>
      <c r="AG220" s="432"/>
      <c r="IQ220" s="86"/>
      <c r="IR220" s="86"/>
      <c r="IS220" s="86"/>
      <c r="IT220" s="86"/>
      <c r="IU220" s="86"/>
      <c r="IV220" s="86"/>
    </row>
    <row r="221" spans="1:256" s="73" customFormat="1" ht="12" thickBot="1">
      <c r="A221" s="1146"/>
      <c r="B221" s="434" t="s">
        <v>110</v>
      </c>
      <c r="C221" s="435">
        <v>0</v>
      </c>
      <c r="D221" s="435">
        <v>0</v>
      </c>
      <c r="E221" s="435">
        <v>0</v>
      </c>
      <c r="F221" s="435">
        <v>0</v>
      </c>
      <c r="G221" s="435">
        <v>0</v>
      </c>
      <c r="H221" s="45">
        <f>SUM(C221:G221)</f>
        <v>0</v>
      </c>
      <c r="I221" s="436"/>
      <c r="J221" s="436"/>
      <c r="K221" s="436"/>
      <c r="L221" s="47">
        <f>((C221*$C$5)+(D221*$D$5)+(E221*$E$5)+(F221*$F$5)+(G221*$G$5))</f>
        <v>0</v>
      </c>
      <c r="M221" s="437">
        <v>0</v>
      </c>
      <c r="N221" s="438">
        <v>0</v>
      </c>
      <c r="O221" s="439">
        <v>0</v>
      </c>
      <c r="P221" s="50">
        <f>(C221+D221+E221+F221+G221)*O221</f>
        <v>0</v>
      </c>
      <c r="Q221" s="51">
        <f>M221*O221</f>
        <v>0</v>
      </c>
      <c r="R221" s="51">
        <f>N221*O221</f>
        <v>0</v>
      </c>
      <c r="S221" s="52">
        <f>(L221+M221+N221)*O221</f>
        <v>0</v>
      </c>
      <c r="T221" s="85" t="s">
        <v>408</v>
      </c>
      <c r="U221" s="842">
        <f>IF($T221="RP",O221,"")</f>
        <v>0</v>
      </c>
      <c r="V221" s="842">
        <f>IF($T221="RP",P221,"")</f>
        <v>0</v>
      </c>
      <c r="W221" s="842">
        <f>IF($T221="RP",SUM(Q221:R221),"")</f>
        <v>0</v>
      </c>
      <c r="X221" s="842" t="str">
        <f>IF($T221="RK",O221,"")</f>
        <v/>
      </c>
      <c r="Y221" s="842" t="str">
        <f>IF($T221="RK",P221,"")</f>
        <v/>
      </c>
      <c r="Z221" s="984" t="str">
        <f>IF($T221="Rk",SUM(Q221:R221),"")</f>
        <v/>
      </c>
      <c r="AA221" s="1"/>
      <c r="AB221" s="1"/>
      <c r="AC221" s="1"/>
      <c r="AD221" s="1"/>
      <c r="AE221" s="1"/>
      <c r="IQ221" s="86"/>
      <c r="IR221" s="86"/>
      <c r="IS221" s="86"/>
      <c r="IT221" s="86"/>
      <c r="IU221" s="86"/>
      <c r="IV221" s="86"/>
    </row>
    <row r="222" spans="1:256" s="73" customFormat="1" ht="12.75" thickTop="1" thickBot="1">
      <c r="A222" s="1068" t="s">
        <v>29</v>
      </c>
      <c r="B222" s="172"/>
      <c r="C222" s="173">
        <f t="shared" ref="C222:H222" si="64">C221</f>
        <v>0</v>
      </c>
      <c r="D222" s="173">
        <f t="shared" si="64"/>
        <v>0</v>
      </c>
      <c r="E222" s="173">
        <f t="shared" si="64"/>
        <v>0</v>
      </c>
      <c r="F222" s="173">
        <f t="shared" si="64"/>
        <v>0</v>
      </c>
      <c r="G222" s="173">
        <f t="shared" si="64"/>
        <v>0</v>
      </c>
      <c r="H222" s="173">
        <f t="shared" si="64"/>
        <v>0</v>
      </c>
      <c r="I222" s="67"/>
      <c r="J222" s="67"/>
      <c r="K222" s="67"/>
      <c r="L222" s="72">
        <f t="shared" ref="L222:S222" si="65">L221</f>
        <v>0</v>
      </c>
      <c r="M222" s="72">
        <f t="shared" si="65"/>
        <v>0</v>
      </c>
      <c r="N222" s="69">
        <f t="shared" si="65"/>
        <v>0</v>
      </c>
      <c r="O222" s="176"/>
      <c r="P222" s="176">
        <f t="shared" si="65"/>
        <v>0</v>
      </c>
      <c r="Q222" s="72">
        <f t="shared" si="65"/>
        <v>0</v>
      </c>
      <c r="R222" s="72">
        <f t="shared" si="65"/>
        <v>0</v>
      </c>
      <c r="S222" s="72">
        <f t="shared" si="65"/>
        <v>0</v>
      </c>
      <c r="T222" s="72"/>
      <c r="U222" s="850">
        <f t="shared" ref="U222:Z222" si="66">U221</f>
        <v>0</v>
      </c>
      <c r="V222" s="850">
        <f t="shared" si="66"/>
        <v>0</v>
      </c>
      <c r="W222" s="72">
        <f t="shared" si="66"/>
        <v>0</v>
      </c>
      <c r="X222" s="850" t="str">
        <f t="shared" si="66"/>
        <v/>
      </c>
      <c r="Y222" s="850" t="str">
        <f t="shared" si="66"/>
        <v/>
      </c>
      <c r="Z222" s="988" t="str">
        <f t="shared" si="66"/>
        <v/>
      </c>
      <c r="AA222" s="1"/>
      <c r="AB222" s="1"/>
      <c r="AC222" s="1"/>
      <c r="AD222" s="1"/>
      <c r="AE222" s="1"/>
      <c r="IQ222" s="86"/>
      <c r="IR222" s="86"/>
      <c r="IS222" s="86"/>
      <c r="IT222" s="86"/>
      <c r="IU222" s="86"/>
      <c r="IV222" s="86"/>
    </row>
    <row r="223" spans="1:256" s="73" customFormat="1" ht="12" thickTop="1">
      <c r="A223" s="1135" t="s">
        <v>111</v>
      </c>
      <c r="B223" s="440"/>
      <c r="C223" s="403"/>
      <c r="D223" s="403"/>
      <c r="E223" s="403"/>
      <c r="F223" s="403"/>
      <c r="G223" s="403"/>
      <c r="H223" s="403"/>
      <c r="I223" s="404"/>
      <c r="J223" s="404"/>
      <c r="K223" s="404"/>
      <c r="L223" s="405"/>
      <c r="M223" s="405"/>
      <c r="N223" s="406"/>
      <c r="O223" s="407"/>
      <c r="P223" s="408"/>
      <c r="Q223" s="409"/>
      <c r="R223" s="409"/>
      <c r="S223" s="410"/>
      <c r="T223" s="85"/>
      <c r="U223" s="784"/>
      <c r="V223" s="784"/>
      <c r="X223" s="855"/>
      <c r="Y223" s="784"/>
      <c r="Z223" s="973"/>
      <c r="AA223" s="1"/>
      <c r="AB223" s="1"/>
      <c r="AC223" s="1"/>
      <c r="AD223" s="1"/>
      <c r="AE223" s="1"/>
      <c r="IQ223" s="86"/>
      <c r="IR223" s="86"/>
      <c r="IS223" s="86"/>
      <c r="IT223" s="86"/>
      <c r="IU223" s="86"/>
      <c r="IV223" s="86"/>
    </row>
    <row r="224" spans="1:256" s="73" customFormat="1">
      <c r="A224" s="1134"/>
      <c r="B224" s="340" t="s">
        <v>112</v>
      </c>
      <c r="C224" s="341"/>
      <c r="D224" s="342"/>
      <c r="E224" s="342"/>
      <c r="F224" s="342"/>
      <c r="G224" s="342"/>
      <c r="H224" s="342"/>
      <c r="I224" s="343"/>
      <c r="J224" s="343"/>
      <c r="K224" s="343"/>
      <c r="L224" s="304"/>
      <c r="M224" s="304"/>
      <c r="N224" s="305"/>
      <c r="O224" s="207"/>
      <c r="P224" s="344"/>
      <c r="Q224" s="345"/>
      <c r="R224" s="345"/>
      <c r="S224" s="346"/>
      <c r="T224" s="85"/>
      <c r="U224" s="784"/>
      <c r="V224" s="784"/>
      <c r="X224" s="855"/>
      <c r="Y224" s="784"/>
      <c r="Z224" s="973"/>
      <c r="AA224" s="1"/>
      <c r="AB224" s="1"/>
      <c r="AC224" s="1"/>
      <c r="AD224" s="1"/>
      <c r="AE224" s="1"/>
      <c r="IQ224" s="86"/>
      <c r="IR224" s="86"/>
      <c r="IS224" s="86"/>
      <c r="IT224" s="86"/>
      <c r="IU224" s="86"/>
      <c r="IV224" s="86"/>
    </row>
    <row r="225" spans="1:256" s="73" customFormat="1">
      <c r="A225" s="1131"/>
      <c r="B225" s="347" t="s">
        <v>113</v>
      </c>
      <c r="C225" s="348">
        <v>0</v>
      </c>
      <c r="D225" s="349">
        <v>0</v>
      </c>
      <c r="E225" s="349">
        <v>0</v>
      </c>
      <c r="F225" s="349">
        <v>0</v>
      </c>
      <c r="G225" s="349">
        <v>0</v>
      </c>
      <c r="H225" s="45">
        <f>SUM(C225:G225)</f>
        <v>0</v>
      </c>
      <c r="I225" s="46">
        <f>D225*$O225</f>
        <v>0</v>
      </c>
      <c r="J225" s="46">
        <f>E225*$O225</f>
        <v>0</v>
      </c>
      <c r="K225" s="46">
        <f>F225*$O225</f>
        <v>0</v>
      </c>
      <c r="L225" s="47">
        <f>((C225*$C$5)+(D225*$D$5)+(E225*$E$5)+(F225*$F$5)+(G225*$G$5))</f>
        <v>0</v>
      </c>
      <c r="M225" s="350">
        <v>0</v>
      </c>
      <c r="N225" s="351">
        <v>0</v>
      </c>
      <c r="O225" s="49">
        <v>0</v>
      </c>
      <c r="P225" s="50">
        <f>(C225+D225+E225+F225+G225)*O225</f>
        <v>0</v>
      </c>
      <c r="Q225" s="155">
        <f>M225*O225</f>
        <v>0</v>
      </c>
      <c r="R225" s="156">
        <f>N225*O225</f>
        <v>0</v>
      </c>
      <c r="S225" s="52">
        <f>(L225+M225+N225)*O225</f>
        <v>0</v>
      </c>
      <c r="T225" s="85" t="s">
        <v>407</v>
      </c>
      <c r="U225" s="842" t="str">
        <f>IF($T225="RP",O225,"")</f>
        <v/>
      </c>
      <c r="V225" s="842" t="str">
        <f>IF($T225="RP",P225,"")</f>
        <v/>
      </c>
      <c r="W225" s="842" t="str">
        <f>IF($T225="RP",SUM(Q225:R225),"")</f>
        <v/>
      </c>
      <c r="X225" s="842">
        <f>IF($T225="RK",O225,"")</f>
        <v>0</v>
      </c>
      <c r="Y225" s="842">
        <f>IF($T225="RK",P225,"")</f>
        <v>0</v>
      </c>
      <c r="Z225" s="984">
        <f>IF($T225="Rk",SUM(Q225:R225),"")</f>
        <v>0</v>
      </c>
      <c r="AA225" s="1"/>
      <c r="AB225" s="1"/>
      <c r="AC225" s="1"/>
      <c r="AD225" s="1"/>
      <c r="AE225" s="1"/>
      <c r="IQ225" s="86"/>
      <c r="IR225" s="86"/>
      <c r="IS225" s="86"/>
      <c r="IT225" s="86"/>
      <c r="IU225" s="86"/>
      <c r="IV225" s="86"/>
    </row>
    <row r="226" spans="1:256" s="73" customFormat="1">
      <c r="A226" s="1134"/>
      <c r="B226" s="340" t="s">
        <v>189</v>
      </c>
      <c r="C226" s="441"/>
      <c r="D226" s="441"/>
      <c r="E226" s="441"/>
      <c r="F226" s="441"/>
      <c r="G226" s="441"/>
      <c r="H226" s="442"/>
      <c r="I226" s="443"/>
      <c r="J226" s="443"/>
      <c r="K226" s="443"/>
      <c r="L226" s="110"/>
      <c r="M226" s="444"/>
      <c r="N226" s="445"/>
      <c r="O226" s="207"/>
      <c r="P226" s="182"/>
      <c r="Q226" s="51"/>
      <c r="R226" s="51"/>
      <c r="S226" s="183"/>
      <c r="T226" s="844"/>
      <c r="U226" s="784"/>
      <c r="V226" s="784"/>
      <c r="X226" s="855"/>
      <c r="Y226" s="784"/>
      <c r="Z226" s="973"/>
      <c r="AA226" s="1"/>
      <c r="AB226" s="1"/>
      <c r="AC226" s="1"/>
      <c r="AD226" s="1"/>
      <c r="AE226" s="1"/>
      <c r="IQ226" s="86"/>
      <c r="IR226" s="86"/>
      <c r="IS226" s="86"/>
      <c r="IT226" s="86"/>
      <c r="IU226" s="86"/>
      <c r="IV226" s="86"/>
    </row>
    <row r="227" spans="1:256" s="73" customFormat="1">
      <c r="A227" s="1134"/>
      <c r="B227" s="340" t="s">
        <v>190</v>
      </c>
      <c r="C227" s="352"/>
      <c r="D227" s="352"/>
      <c r="E227" s="352"/>
      <c r="F227" s="352"/>
      <c r="G227" s="352"/>
      <c r="H227" s="353"/>
      <c r="I227" s="354"/>
      <c r="J227" s="354"/>
      <c r="K227" s="354"/>
      <c r="L227" s="118"/>
      <c r="M227" s="355"/>
      <c r="N227" s="356"/>
      <c r="O227" s="207"/>
      <c r="P227" s="182"/>
      <c r="Q227" s="51"/>
      <c r="R227" s="51"/>
      <c r="S227" s="183"/>
      <c r="T227" s="845"/>
      <c r="U227" s="784"/>
      <c r="V227" s="784"/>
      <c r="X227" s="855"/>
      <c r="Y227" s="784"/>
      <c r="Z227" s="973"/>
      <c r="AA227" s="1"/>
      <c r="AB227" s="1"/>
      <c r="AC227" s="1"/>
      <c r="AD227" s="1"/>
      <c r="AE227" s="1"/>
      <c r="IQ227" s="86"/>
      <c r="IR227" s="86"/>
      <c r="IS227" s="86"/>
      <c r="IT227" s="86"/>
      <c r="IU227" s="86"/>
      <c r="IV227" s="86"/>
    </row>
    <row r="228" spans="1:256" s="73" customFormat="1">
      <c r="A228" s="1133"/>
      <c r="B228" s="446" t="s">
        <v>191</v>
      </c>
      <c r="C228" s="447">
        <v>0</v>
      </c>
      <c r="D228" s="447">
        <v>0</v>
      </c>
      <c r="E228" s="447">
        <v>0.25</v>
      </c>
      <c r="F228" s="447">
        <v>0</v>
      </c>
      <c r="G228" s="447">
        <v>0</v>
      </c>
      <c r="H228" s="45">
        <f>SUM(C228:G228)</f>
        <v>0.25</v>
      </c>
      <c r="I228" s="448"/>
      <c r="J228" s="448"/>
      <c r="K228" s="448"/>
      <c r="L228" s="47">
        <f>((C228*$C$5)+(D228*$D$5)+(E228*$E$5)+(F228*$F$5)+(G228*$G$5))</f>
        <v>18.952499999999997</v>
      </c>
      <c r="M228" s="449">
        <v>0</v>
      </c>
      <c r="N228" s="450">
        <v>8</v>
      </c>
      <c r="O228" s="216">
        <v>0</v>
      </c>
      <c r="P228" s="50">
        <f>(C228+D228+E228+F228+G228)*O228</f>
        <v>0</v>
      </c>
      <c r="Q228" s="155">
        <f>M228*O228</f>
        <v>0</v>
      </c>
      <c r="R228" s="156">
        <f>N228*O228</f>
        <v>0</v>
      </c>
      <c r="S228" s="52">
        <f>(L228+M228+N228)*O228</f>
        <v>0</v>
      </c>
      <c r="T228" s="841" t="s">
        <v>407</v>
      </c>
      <c r="U228" s="842" t="str">
        <f>IF($T228="RP",O228,"")</f>
        <v/>
      </c>
      <c r="V228" s="842" t="str">
        <f>IF($T228="RP",P228,"")</f>
        <v/>
      </c>
      <c r="W228" s="842" t="str">
        <f>IF($T228="RP",SUM(Q228:R228),"")</f>
        <v/>
      </c>
      <c r="X228" s="842">
        <f>IF($T228="RK",O228,"")</f>
        <v>0</v>
      </c>
      <c r="Y228" s="842">
        <f>IF($T228="RK",P228,"")</f>
        <v>0</v>
      </c>
      <c r="Z228" s="984">
        <f>IF($T228="Rk",SUM(Q228:R228),"")</f>
        <v>0</v>
      </c>
      <c r="AA228" s="1"/>
      <c r="AB228" s="1"/>
      <c r="AC228" s="1"/>
      <c r="AD228" s="1"/>
      <c r="AE228" s="1"/>
      <c r="AF228" s="219"/>
      <c r="AG228" s="219"/>
      <c r="IQ228" s="86"/>
      <c r="IR228" s="86"/>
      <c r="IS228" s="86"/>
      <c r="IT228" s="86"/>
      <c r="IU228" s="86"/>
      <c r="IV228" s="86"/>
    </row>
    <row r="229" spans="1:256" s="73" customFormat="1">
      <c r="A229" s="1134"/>
      <c r="B229" s="340" t="s">
        <v>114</v>
      </c>
      <c r="C229" s="441"/>
      <c r="D229" s="441"/>
      <c r="E229" s="441"/>
      <c r="F229" s="441"/>
      <c r="G229" s="441"/>
      <c r="H229" s="442"/>
      <c r="I229" s="443"/>
      <c r="J229" s="443"/>
      <c r="K229" s="443"/>
      <c r="L229" s="110"/>
      <c r="M229" s="444"/>
      <c r="N229" s="445"/>
      <c r="O229" s="207"/>
      <c r="P229" s="182"/>
      <c r="Q229" s="51"/>
      <c r="R229" s="51"/>
      <c r="S229" s="183"/>
      <c r="T229" s="844"/>
      <c r="U229" s="784"/>
      <c r="V229" s="784"/>
      <c r="X229" s="855"/>
      <c r="Y229" s="784"/>
      <c r="Z229" s="973"/>
      <c r="AA229" s="1"/>
      <c r="AB229" s="1"/>
      <c r="AC229" s="1"/>
      <c r="AD229" s="1"/>
      <c r="AE229" s="1"/>
      <c r="IQ229" s="86"/>
      <c r="IR229" s="86"/>
      <c r="IS229" s="86"/>
      <c r="IT229" s="86"/>
      <c r="IU229" s="86"/>
      <c r="IV229" s="86"/>
    </row>
    <row r="230" spans="1:256" s="73" customFormat="1">
      <c r="A230" s="1134"/>
      <c r="B230" s="340" t="s">
        <v>147</v>
      </c>
      <c r="C230" s="352"/>
      <c r="D230" s="352"/>
      <c r="E230" s="352"/>
      <c r="F230" s="352"/>
      <c r="G230" s="352"/>
      <c r="H230" s="353"/>
      <c r="I230" s="354"/>
      <c r="J230" s="354"/>
      <c r="K230" s="354"/>
      <c r="L230" s="118"/>
      <c r="M230" s="355"/>
      <c r="N230" s="356"/>
      <c r="O230" s="207"/>
      <c r="P230" s="182"/>
      <c r="Q230" s="51"/>
      <c r="R230" s="51"/>
      <c r="S230" s="183"/>
      <c r="T230" s="845"/>
      <c r="U230" s="784"/>
      <c r="V230" s="784"/>
      <c r="X230" s="855"/>
      <c r="Y230" s="784"/>
      <c r="Z230" s="973"/>
      <c r="AA230" s="1"/>
      <c r="AB230" s="1"/>
      <c r="AC230" s="1"/>
      <c r="AD230" s="1"/>
      <c r="AE230" s="1"/>
      <c r="IQ230" s="86"/>
      <c r="IR230" s="86"/>
      <c r="IS230" s="86"/>
      <c r="IT230" s="86"/>
      <c r="IU230" s="86"/>
      <c r="IV230" s="86"/>
    </row>
    <row r="231" spans="1:256" s="73" customFormat="1">
      <c r="A231" s="1133"/>
      <c r="B231" s="446" t="s">
        <v>116</v>
      </c>
      <c r="C231" s="447">
        <v>0</v>
      </c>
      <c r="D231" s="447">
        <v>0</v>
      </c>
      <c r="E231" s="447">
        <v>0.25</v>
      </c>
      <c r="F231" s="447">
        <v>0</v>
      </c>
      <c r="G231" s="447">
        <v>0</v>
      </c>
      <c r="H231" s="45">
        <f>SUM(C231:G231)</f>
        <v>0.25</v>
      </c>
      <c r="I231" s="448"/>
      <c r="J231" s="448"/>
      <c r="K231" s="448"/>
      <c r="L231" s="47">
        <f>((C231*$C$5)+(D231*$D$5)+(E231*$E$5)+(F231*$F$5)+(G231*$G$5))</f>
        <v>18.952499999999997</v>
      </c>
      <c r="M231" s="449">
        <v>0</v>
      </c>
      <c r="N231" s="450">
        <v>8</v>
      </c>
      <c r="O231" s="216">
        <v>0</v>
      </c>
      <c r="P231" s="50">
        <f>(C231+D231+E231+F231+G231)*O231</f>
        <v>0</v>
      </c>
      <c r="Q231" s="155">
        <f>M231*O231</f>
        <v>0</v>
      </c>
      <c r="R231" s="156">
        <f>N231*O231</f>
        <v>0</v>
      </c>
      <c r="S231" s="52">
        <f>(L231+M231+N231)*O231</f>
        <v>0</v>
      </c>
      <c r="T231" s="841" t="s">
        <v>407</v>
      </c>
      <c r="U231" s="842" t="str">
        <f>IF($T231="RP",O231,"")</f>
        <v/>
      </c>
      <c r="V231" s="842" t="str">
        <f>IF($T231="RP",P231,"")</f>
        <v/>
      </c>
      <c r="W231" s="842" t="str">
        <f>IF($T231="RP",SUM(Q231:R231),"")</f>
        <v/>
      </c>
      <c r="X231" s="842">
        <f>IF($T231="RK",O231,"")</f>
        <v>0</v>
      </c>
      <c r="Y231" s="842">
        <f>IF($T231="RK",P231,"")</f>
        <v>0</v>
      </c>
      <c r="Z231" s="984">
        <f>IF($T231="Rk",SUM(Q231:R231),"")</f>
        <v>0</v>
      </c>
      <c r="AA231" s="1"/>
      <c r="AB231" s="1"/>
      <c r="AC231" s="1"/>
      <c r="AD231" s="1"/>
      <c r="AE231" s="1"/>
      <c r="AF231" s="219"/>
      <c r="AG231" s="219"/>
      <c r="IQ231" s="86"/>
      <c r="IR231" s="86"/>
      <c r="IS231" s="86"/>
      <c r="IT231" s="86"/>
      <c r="IU231" s="86"/>
      <c r="IV231" s="86"/>
    </row>
    <row r="232" spans="1:256" s="73" customFormat="1">
      <c r="A232" s="1134"/>
      <c r="B232" s="340" t="s">
        <v>148</v>
      </c>
      <c r="C232" s="352"/>
      <c r="D232" s="352"/>
      <c r="E232" s="352"/>
      <c r="F232" s="352"/>
      <c r="G232" s="352"/>
      <c r="H232" s="353"/>
      <c r="I232" s="354"/>
      <c r="J232" s="354"/>
      <c r="K232" s="354"/>
      <c r="L232" s="118"/>
      <c r="M232" s="355"/>
      <c r="N232" s="356"/>
      <c r="O232" s="207"/>
      <c r="P232" s="182"/>
      <c r="Q232" s="51"/>
      <c r="R232" s="51"/>
      <c r="S232" s="183"/>
      <c r="T232" s="85"/>
      <c r="U232" s="784"/>
      <c r="V232" s="784"/>
      <c r="X232" s="855"/>
      <c r="Y232" s="784"/>
      <c r="Z232" s="973"/>
      <c r="AA232" s="1"/>
      <c r="AB232" s="1"/>
      <c r="AC232" s="1"/>
      <c r="AD232" s="1"/>
      <c r="AE232" s="1"/>
      <c r="IQ232" s="86"/>
      <c r="IR232" s="86"/>
      <c r="IS232" s="86"/>
      <c r="IT232" s="86"/>
      <c r="IU232" s="86"/>
      <c r="IV232" s="86"/>
    </row>
    <row r="233" spans="1:256" s="73" customFormat="1">
      <c r="A233" s="1134"/>
      <c r="B233" s="340" t="s">
        <v>115</v>
      </c>
      <c r="C233" s="352"/>
      <c r="D233" s="352"/>
      <c r="E233" s="352"/>
      <c r="F233" s="352"/>
      <c r="G233" s="352"/>
      <c r="H233" s="353"/>
      <c r="I233" s="354"/>
      <c r="J233" s="354"/>
      <c r="K233" s="354"/>
      <c r="L233" s="118"/>
      <c r="M233" s="355"/>
      <c r="N233" s="356"/>
      <c r="O233" s="207"/>
      <c r="P233" s="182"/>
      <c r="Q233" s="51"/>
      <c r="R233" s="51"/>
      <c r="S233" s="183"/>
      <c r="T233" s="85"/>
      <c r="U233" s="784"/>
      <c r="V233" s="784"/>
      <c r="X233" s="855"/>
      <c r="Y233" s="784"/>
      <c r="Z233" s="973"/>
      <c r="AA233" s="1"/>
      <c r="AB233" s="1"/>
      <c r="AC233" s="1"/>
      <c r="AD233" s="1"/>
      <c r="AE233" s="1"/>
      <c r="IQ233" s="86"/>
      <c r="IR233" s="86"/>
      <c r="IS233" s="86"/>
      <c r="IT233" s="86"/>
      <c r="IU233" s="86"/>
      <c r="IV233" s="86"/>
    </row>
    <row r="234" spans="1:256" s="73" customFormat="1" ht="12" thickBot="1">
      <c r="A234" s="1134"/>
      <c r="B234" s="340" t="s">
        <v>116</v>
      </c>
      <c r="C234" s="357">
        <v>0</v>
      </c>
      <c r="D234" s="357">
        <v>0</v>
      </c>
      <c r="E234" s="357">
        <v>0.25</v>
      </c>
      <c r="F234" s="357">
        <v>0</v>
      </c>
      <c r="G234" s="357">
        <v>0</v>
      </c>
      <c r="H234" s="45">
        <f>SUM(C234:G234)</f>
        <v>0.25</v>
      </c>
      <c r="I234" s="358"/>
      <c r="J234" s="358"/>
      <c r="K234" s="358"/>
      <c r="L234" s="47">
        <f>((C234*$C$5)+(D234*$D$5)+(E234*$E$5)+(F234*$F$5)+(G234*$G$5))</f>
        <v>18.952499999999997</v>
      </c>
      <c r="M234" s="359">
        <v>0</v>
      </c>
      <c r="N234" s="360">
        <v>8</v>
      </c>
      <c r="O234" s="207">
        <v>0</v>
      </c>
      <c r="P234" s="50">
        <f>(C234+D234+E234+F234+G234)*O234</f>
        <v>0</v>
      </c>
      <c r="Q234" s="51">
        <f>M234*O234</f>
        <v>0</v>
      </c>
      <c r="R234" s="51">
        <f>N234*O234</f>
        <v>0</v>
      </c>
      <c r="S234" s="52">
        <f>(L234+M234+N234)*O234</f>
        <v>0</v>
      </c>
      <c r="T234" s="85" t="s">
        <v>407</v>
      </c>
      <c r="U234" s="842" t="str">
        <f>IF($T234="RP",O234,"")</f>
        <v/>
      </c>
      <c r="V234" s="842" t="str">
        <f>IF($T234="RP",P234,"")</f>
        <v/>
      </c>
      <c r="W234" s="842" t="str">
        <f>IF($T234="RP",SUM(Q234:R234),"")</f>
        <v/>
      </c>
      <c r="X234" s="842">
        <f>IF($T234="RK",O234,"")</f>
        <v>0</v>
      </c>
      <c r="Y234" s="842">
        <f>IF($T234="RK",P234,"")</f>
        <v>0</v>
      </c>
      <c r="Z234" s="984">
        <f>IF($T234="Rk",SUM(Q234:R234),"")</f>
        <v>0</v>
      </c>
      <c r="AA234" s="1"/>
      <c r="AB234" s="1"/>
      <c r="AC234" s="1"/>
      <c r="AD234" s="1"/>
      <c r="AE234" s="1"/>
      <c r="IQ234" s="86"/>
      <c r="IR234" s="86"/>
      <c r="IS234" s="86"/>
      <c r="IT234" s="86"/>
      <c r="IU234" s="86"/>
      <c r="IV234" s="86"/>
    </row>
    <row r="235" spans="1:256" s="73" customFormat="1" ht="12.75" thickTop="1" thickBot="1">
      <c r="A235" s="1132" t="s">
        <v>29</v>
      </c>
      <c r="B235" s="421"/>
      <c r="C235" s="173">
        <f t="shared" ref="C235:H235" si="67">SUM(C225:C234)</f>
        <v>0</v>
      </c>
      <c r="D235" s="173">
        <f t="shared" si="67"/>
        <v>0</v>
      </c>
      <c r="E235" s="173">
        <f t="shared" si="67"/>
        <v>0.75</v>
      </c>
      <c r="F235" s="173">
        <f t="shared" si="67"/>
        <v>0</v>
      </c>
      <c r="G235" s="173">
        <f t="shared" si="67"/>
        <v>0</v>
      </c>
      <c r="H235" s="173">
        <f t="shared" si="67"/>
        <v>0.75</v>
      </c>
      <c r="I235" s="275">
        <f>I233</f>
        <v>0</v>
      </c>
      <c r="J235" s="275">
        <f>J233</f>
        <v>0</v>
      </c>
      <c r="K235" s="275">
        <f>K233</f>
        <v>0</v>
      </c>
      <c r="L235" s="72">
        <f>SUM(L225:L234)</f>
        <v>56.857499999999987</v>
      </c>
      <c r="M235" s="72">
        <f>SUM(M225:M234)</f>
        <v>0</v>
      </c>
      <c r="N235" s="69">
        <f>SUM(N225:N234)</f>
        <v>24</v>
      </c>
      <c r="O235" s="59"/>
      <c r="P235" s="176">
        <f>SUM(P225:P234)</f>
        <v>0</v>
      </c>
      <c r="Q235" s="72">
        <f>SUM(Q225:Q234)</f>
        <v>0</v>
      </c>
      <c r="R235" s="72">
        <f>SUM(R225:R234)</f>
        <v>0</v>
      </c>
      <c r="S235" s="72">
        <f>SUM(S225:S234)</f>
        <v>0</v>
      </c>
      <c r="T235" s="72"/>
      <c r="U235" s="850">
        <f t="shared" ref="U235:Z235" si="68">SUM(U225:U234)</f>
        <v>0</v>
      </c>
      <c r="V235" s="850">
        <f t="shared" si="68"/>
        <v>0</v>
      </c>
      <c r="W235" s="72">
        <f t="shared" si="68"/>
        <v>0</v>
      </c>
      <c r="X235" s="850">
        <f t="shared" si="68"/>
        <v>0</v>
      </c>
      <c r="Y235" s="850">
        <f t="shared" si="68"/>
        <v>0</v>
      </c>
      <c r="Z235" s="988">
        <f t="shared" si="68"/>
        <v>0</v>
      </c>
      <c r="AA235" s="1"/>
      <c r="AB235" s="1"/>
      <c r="AC235" s="1"/>
      <c r="AD235" s="1"/>
      <c r="AE235" s="1"/>
      <c r="IQ235" s="86"/>
      <c r="IR235" s="86"/>
      <c r="IS235" s="86"/>
      <c r="IT235" s="86"/>
      <c r="IU235" s="86"/>
      <c r="IV235" s="86"/>
    </row>
    <row r="236" spans="1:256" s="73" customFormat="1" ht="12" thickTop="1">
      <c r="A236" s="1135" t="s">
        <v>121</v>
      </c>
      <c r="B236" s="451"/>
      <c r="C236" s="403"/>
      <c r="D236" s="403"/>
      <c r="E236" s="403"/>
      <c r="F236" s="403"/>
      <c r="G236" s="403"/>
      <c r="H236" s="403"/>
      <c r="I236" s="404"/>
      <c r="J236" s="404"/>
      <c r="K236" s="404"/>
      <c r="L236" s="405"/>
      <c r="M236" s="405"/>
      <c r="N236" s="406"/>
      <c r="O236" s="407"/>
      <c r="P236" s="408"/>
      <c r="Q236" s="409"/>
      <c r="R236" s="409"/>
      <c r="S236" s="410"/>
      <c r="T236" s="85"/>
      <c r="U236" s="784"/>
      <c r="V236" s="784"/>
      <c r="X236" s="855"/>
      <c r="Y236" s="784"/>
      <c r="Z236" s="973"/>
      <c r="AA236" s="1"/>
      <c r="AB236" s="1"/>
      <c r="AC236" s="1"/>
      <c r="AD236" s="1"/>
      <c r="AE236" s="1"/>
      <c r="IQ236" s="86"/>
      <c r="IR236" s="86"/>
      <c r="IS236" s="86"/>
      <c r="IT236" s="86"/>
      <c r="IU236" s="86"/>
      <c r="IV236" s="86"/>
    </row>
    <row r="237" spans="1:256" s="73" customFormat="1">
      <c r="A237" s="1134"/>
      <c r="B237" s="340" t="s">
        <v>112</v>
      </c>
      <c r="C237" s="341"/>
      <c r="D237" s="342"/>
      <c r="E237" s="342"/>
      <c r="F237" s="342"/>
      <c r="G237" s="342"/>
      <c r="H237" s="342"/>
      <c r="I237" s="343"/>
      <c r="J237" s="343"/>
      <c r="K237" s="343"/>
      <c r="L237" s="304"/>
      <c r="M237" s="304"/>
      <c r="N237" s="305"/>
      <c r="O237" s="207"/>
      <c r="P237" s="344"/>
      <c r="Q237" s="345"/>
      <c r="R237" s="345"/>
      <c r="S237" s="346"/>
      <c r="T237" s="844"/>
      <c r="U237" s="835"/>
      <c r="V237" s="835"/>
      <c r="W237" s="229"/>
      <c r="X237" s="854"/>
      <c r="Y237" s="835"/>
      <c r="Z237" s="982"/>
      <c r="AA237" s="1"/>
      <c r="AB237" s="1"/>
      <c r="AC237" s="1"/>
      <c r="AD237" s="1"/>
      <c r="AE237" s="1"/>
      <c r="IQ237" s="86"/>
      <c r="IR237" s="86"/>
      <c r="IS237" s="86"/>
      <c r="IT237" s="86"/>
      <c r="IU237" s="86"/>
      <c r="IV237" s="86"/>
    </row>
    <row r="238" spans="1:256" s="73" customFormat="1">
      <c r="A238" s="1131"/>
      <c r="B238" s="347" t="s">
        <v>117</v>
      </c>
      <c r="C238" s="348">
        <v>0</v>
      </c>
      <c r="D238" s="349">
        <v>0</v>
      </c>
      <c r="E238" s="349">
        <v>0</v>
      </c>
      <c r="F238" s="349">
        <v>0</v>
      </c>
      <c r="G238" s="349">
        <v>0</v>
      </c>
      <c r="H238" s="45">
        <f>SUM(C238:G238)</f>
        <v>0</v>
      </c>
      <c r="I238" s="46">
        <f>D238*$O238</f>
        <v>0</v>
      </c>
      <c r="J238" s="46">
        <f>E238*$O238</f>
        <v>0</v>
      </c>
      <c r="K238" s="46">
        <f>F238*$O238</f>
        <v>0</v>
      </c>
      <c r="L238" s="47">
        <f>((C238*$C$5)+(D238*$D$5)+(E238*$E$5)+(F238*$F$5)+(G238*$G$5))</f>
        <v>0</v>
      </c>
      <c r="M238" s="350">
        <v>0</v>
      </c>
      <c r="N238" s="351">
        <v>0</v>
      </c>
      <c r="O238" s="49">
        <v>0</v>
      </c>
      <c r="P238" s="50">
        <f>(C238+D238+E238+F238+G238)*O238</f>
        <v>0</v>
      </c>
      <c r="Q238" s="155">
        <f>M238*O238</f>
        <v>0</v>
      </c>
      <c r="R238" s="156">
        <f>N238*O238</f>
        <v>0</v>
      </c>
      <c r="S238" s="52">
        <f>(L238+M238+N238)*O238</f>
        <v>0</v>
      </c>
      <c r="T238" s="841" t="s">
        <v>407</v>
      </c>
      <c r="U238" s="842" t="str">
        <f>IF($T238="RP",O238,"")</f>
        <v/>
      </c>
      <c r="V238" s="842" t="str">
        <f>IF($T238="RP",P238,"")</f>
        <v/>
      </c>
      <c r="W238" s="842" t="str">
        <f>IF($T238="RP",SUM(Q238:R238),"")</f>
        <v/>
      </c>
      <c r="X238" s="842">
        <f>IF($T238="RK",O238,"")</f>
        <v>0</v>
      </c>
      <c r="Y238" s="842">
        <f>IF($T238="RK",P238,"")</f>
        <v>0</v>
      </c>
      <c r="Z238" s="984">
        <f>IF($T238="Rk",SUM(Q238:R238),"")</f>
        <v>0</v>
      </c>
      <c r="AA238" s="1"/>
      <c r="AB238" s="1"/>
      <c r="AC238" s="1"/>
      <c r="AD238" s="1"/>
      <c r="AE238" s="1"/>
      <c r="IQ238" s="86"/>
      <c r="IR238" s="86"/>
      <c r="IS238" s="86"/>
      <c r="IT238" s="86"/>
      <c r="IU238" s="86"/>
      <c r="IV238" s="86"/>
    </row>
    <row r="239" spans="1:256" s="73" customFormat="1">
      <c r="A239" s="1134"/>
      <c r="B239" s="340" t="s">
        <v>118</v>
      </c>
      <c r="C239" s="441"/>
      <c r="D239" s="441"/>
      <c r="E239" s="441"/>
      <c r="F239" s="441"/>
      <c r="G239" s="441"/>
      <c r="H239" s="442"/>
      <c r="I239" s="443"/>
      <c r="J239" s="443"/>
      <c r="K239" s="443"/>
      <c r="L239" s="110"/>
      <c r="M239" s="444"/>
      <c r="N239" s="445"/>
      <c r="O239" s="207"/>
      <c r="P239" s="182"/>
      <c r="Q239" s="51"/>
      <c r="R239" s="51"/>
      <c r="S239" s="183"/>
      <c r="T239" s="844"/>
      <c r="U239" s="784"/>
      <c r="V239" s="784"/>
      <c r="X239" s="855"/>
      <c r="Y239" s="784"/>
      <c r="Z239" s="973"/>
      <c r="AA239" s="1"/>
      <c r="AB239" s="1"/>
      <c r="AC239" s="1"/>
      <c r="AD239" s="1"/>
      <c r="AE239" s="1"/>
      <c r="IQ239" s="86"/>
      <c r="IR239" s="86"/>
      <c r="IS239" s="86"/>
      <c r="IT239" s="86"/>
      <c r="IU239" s="86"/>
      <c r="IV239" s="86"/>
    </row>
    <row r="240" spans="1:256" s="73" customFormat="1">
      <c r="A240" s="1134"/>
      <c r="B240" s="340" t="s">
        <v>119</v>
      </c>
      <c r="C240" s="447">
        <v>0</v>
      </c>
      <c r="D240" s="447">
        <v>0.5</v>
      </c>
      <c r="E240" s="447">
        <v>4</v>
      </c>
      <c r="F240" s="447">
        <v>1</v>
      </c>
      <c r="G240" s="447">
        <v>0</v>
      </c>
      <c r="H240" s="45">
        <f>SUM(C240:G240)</f>
        <v>5.5</v>
      </c>
      <c r="I240" s="448"/>
      <c r="J240" s="448"/>
      <c r="K240" s="448"/>
      <c r="L240" s="47">
        <f>((C240*$C$5)+(D240*$D$5)+(E240*$E$5)+(F240*$F$5)+(G240*$G$5))</f>
        <v>387.88399999999996</v>
      </c>
      <c r="M240" s="449">
        <v>0</v>
      </c>
      <c r="N240" s="450">
        <v>8</v>
      </c>
      <c r="O240" s="216">
        <f>0.1*P10</f>
        <v>6.4</v>
      </c>
      <c r="P240" s="50">
        <f>(C240+D240+E240+F240+G240)*O240</f>
        <v>35.200000000000003</v>
      </c>
      <c r="Q240" s="155">
        <f>M240*O240</f>
        <v>0</v>
      </c>
      <c r="R240" s="156">
        <f>N240*O240</f>
        <v>51.2</v>
      </c>
      <c r="S240" s="52">
        <f>(L240+M240+N240)*O240</f>
        <v>2533.6576</v>
      </c>
      <c r="T240" s="841" t="s">
        <v>407</v>
      </c>
      <c r="U240" s="842" t="str">
        <f>IF($T240="RP",O240,"")</f>
        <v/>
      </c>
      <c r="V240" s="842" t="str">
        <f>IF($T240="RP",P240,"")</f>
        <v/>
      </c>
      <c r="W240" s="842" t="str">
        <f>IF($T240="RP",SUM(Q240:R240),"")</f>
        <v/>
      </c>
      <c r="X240" s="842">
        <f>IF($T240="RK",O240,"")</f>
        <v>6.4</v>
      </c>
      <c r="Y240" s="842">
        <f>IF($T240="RK",P240,"")</f>
        <v>35.200000000000003</v>
      </c>
      <c r="Z240" s="984">
        <f>IF($T240="Rk",SUM(Q240:R240),"")</f>
        <v>51.2</v>
      </c>
      <c r="AA240" s="1"/>
      <c r="AB240" s="1"/>
      <c r="AC240" s="1"/>
      <c r="AD240" s="1"/>
      <c r="AE240" s="1"/>
      <c r="IQ240" s="86"/>
      <c r="IR240" s="86"/>
      <c r="IS240" s="86"/>
      <c r="IT240" s="86"/>
      <c r="IU240" s="86"/>
      <c r="IV240" s="86"/>
    </row>
    <row r="241" spans="1:256" s="73" customFormat="1">
      <c r="A241" s="1130"/>
      <c r="B241" s="411" t="s">
        <v>106</v>
      </c>
      <c r="C241" s="452"/>
      <c r="D241" s="452"/>
      <c r="E241" s="452"/>
      <c r="F241" s="452"/>
      <c r="G241" s="452"/>
      <c r="H241" s="145"/>
      <c r="I241" s="453"/>
      <c r="J241" s="453"/>
      <c r="K241" s="453"/>
      <c r="L241" s="110"/>
      <c r="M241" s="454"/>
      <c r="N241" s="455"/>
      <c r="O241" s="207"/>
      <c r="P241" s="182"/>
      <c r="Q241" s="51"/>
      <c r="R241" s="51"/>
      <c r="S241" s="183"/>
      <c r="T241" s="85"/>
      <c r="U241" s="784"/>
      <c r="V241" s="784"/>
      <c r="X241" s="855"/>
      <c r="Y241" s="784"/>
      <c r="Z241" s="973"/>
      <c r="AA241" s="1"/>
      <c r="AB241" s="1"/>
      <c r="AC241" s="1"/>
      <c r="AD241" s="1"/>
      <c r="AE241" s="1"/>
      <c r="IQ241" s="86"/>
      <c r="IR241" s="86"/>
      <c r="IS241" s="86"/>
      <c r="IT241" s="86"/>
      <c r="IU241" s="86"/>
      <c r="IV241" s="86"/>
    </row>
    <row r="242" spans="1:256" s="73" customFormat="1" ht="12" thickBot="1">
      <c r="A242" s="1134"/>
      <c r="B242" s="340" t="s">
        <v>120</v>
      </c>
      <c r="C242" s="357">
        <v>0</v>
      </c>
      <c r="D242" s="357">
        <v>0</v>
      </c>
      <c r="E242" s="357">
        <v>12</v>
      </c>
      <c r="F242" s="357">
        <v>0</v>
      </c>
      <c r="G242" s="357">
        <v>0</v>
      </c>
      <c r="H242" s="45">
        <f>SUM(C242:G242)</f>
        <v>12</v>
      </c>
      <c r="I242" s="358"/>
      <c r="J242" s="358"/>
      <c r="K242" s="358"/>
      <c r="L242" s="47">
        <f>((C242*$C$5)+(D242*$D$5)+(E242*$E$5)+(F242*$F$5)+(G242*$G$5))</f>
        <v>909.7199999999998</v>
      </c>
      <c r="M242" s="359">
        <v>0</v>
      </c>
      <c r="N242" s="360">
        <v>0</v>
      </c>
      <c r="O242" s="207">
        <v>0</v>
      </c>
      <c r="P242" s="50">
        <f>(C242+D242+E242+F242+G242)*O242</f>
        <v>0</v>
      </c>
      <c r="Q242" s="51">
        <f>M242*O242</f>
        <v>0</v>
      </c>
      <c r="R242" s="51">
        <f>N242*O242</f>
        <v>0</v>
      </c>
      <c r="S242" s="52">
        <f>(L242+M242+N242)*O242</f>
        <v>0</v>
      </c>
      <c r="T242" s="85" t="s">
        <v>407</v>
      </c>
      <c r="U242" s="842" t="str">
        <f>IF($T242="RP",O242,"")</f>
        <v/>
      </c>
      <c r="V242" s="842" t="str">
        <f>IF($T242="RP",P242,"")</f>
        <v/>
      </c>
      <c r="W242" s="842" t="str">
        <f>IF($T242="RP",SUM(Q242:R242),"")</f>
        <v/>
      </c>
      <c r="X242" s="842">
        <f>IF($T242="RK",O242,"")</f>
        <v>0</v>
      </c>
      <c r="Y242" s="842">
        <f>IF($T242="RK",P242,"")</f>
        <v>0</v>
      </c>
      <c r="Z242" s="984">
        <f>IF($T242="Rk",SUM(Q242:R242),"")</f>
        <v>0</v>
      </c>
      <c r="AA242" s="1"/>
      <c r="AB242" s="1"/>
      <c r="AC242" s="1"/>
      <c r="AD242" s="1"/>
      <c r="AE242" s="1"/>
      <c r="IQ242" s="86"/>
      <c r="IR242" s="86"/>
      <c r="IS242" s="86"/>
      <c r="IT242" s="86"/>
      <c r="IU242" s="86"/>
      <c r="IV242" s="86"/>
    </row>
    <row r="243" spans="1:256" s="73" customFormat="1" ht="12.75" thickTop="1" thickBot="1">
      <c r="A243" s="1132" t="s">
        <v>29</v>
      </c>
      <c r="B243" s="421"/>
      <c r="C243" s="173">
        <f t="shared" ref="C243:H243" si="69">SUM(C238:C242)</f>
        <v>0</v>
      </c>
      <c r="D243" s="173">
        <f t="shared" si="69"/>
        <v>0.5</v>
      </c>
      <c r="E243" s="173">
        <f t="shared" si="69"/>
        <v>16</v>
      </c>
      <c r="F243" s="173">
        <f t="shared" si="69"/>
        <v>1</v>
      </c>
      <c r="G243" s="173">
        <f t="shared" si="69"/>
        <v>0</v>
      </c>
      <c r="H243" s="173">
        <f t="shared" si="69"/>
        <v>17.5</v>
      </c>
      <c r="I243" s="275">
        <f>I240</f>
        <v>0</v>
      </c>
      <c r="J243" s="275">
        <f>J240</f>
        <v>0</v>
      </c>
      <c r="K243" s="275">
        <f>K240</f>
        <v>0</v>
      </c>
      <c r="L243" s="72">
        <f>SUM(L238:L242)</f>
        <v>1297.6039999999998</v>
      </c>
      <c r="M243" s="72">
        <f>SUM(M238:M242)</f>
        <v>0</v>
      </c>
      <c r="N243" s="69">
        <f>SUM(N238:N242)</f>
        <v>8</v>
      </c>
      <c r="O243" s="59"/>
      <c r="P243" s="176">
        <f>SUM(P238:P242)</f>
        <v>35.200000000000003</v>
      </c>
      <c r="Q243" s="72">
        <f>SUM(Q238:Q242)</f>
        <v>0</v>
      </c>
      <c r="R243" s="72">
        <f>SUM(R238:R242)</f>
        <v>51.2</v>
      </c>
      <c r="S243" s="72">
        <f>SUM(S238:S242)</f>
        <v>2533.6576</v>
      </c>
      <c r="T243" s="72">
        <f t="shared" ref="T243:Z243" si="70">SUM(T238:T242)</f>
        <v>0</v>
      </c>
      <c r="U243" s="850">
        <f t="shared" si="70"/>
        <v>0</v>
      </c>
      <c r="V243" s="850">
        <f>SUM(V238:V242)</f>
        <v>0</v>
      </c>
      <c r="W243" s="72">
        <f t="shared" si="70"/>
        <v>0</v>
      </c>
      <c r="X243" s="850">
        <f t="shared" si="70"/>
        <v>6.4</v>
      </c>
      <c r="Y243" s="850">
        <f t="shared" si="70"/>
        <v>35.200000000000003</v>
      </c>
      <c r="Z243" s="988">
        <f t="shared" si="70"/>
        <v>51.2</v>
      </c>
      <c r="AA243" s="1"/>
      <c r="AB243" s="1"/>
      <c r="AC243" s="1"/>
      <c r="AD243" s="1"/>
      <c r="AE243" s="1"/>
      <c r="IQ243" s="86"/>
      <c r="IR243" s="86"/>
      <c r="IS243" s="86"/>
      <c r="IT243" s="86"/>
      <c r="IU243" s="86"/>
      <c r="IV243" s="86"/>
    </row>
    <row r="244" spans="1:256" s="73" customFormat="1" ht="12" thickTop="1">
      <c r="A244" s="1135" t="s">
        <v>33</v>
      </c>
      <c r="B244" s="451"/>
      <c r="C244" s="403"/>
      <c r="D244" s="403"/>
      <c r="E244" s="403"/>
      <c r="F244" s="403"/>
      <c r="G244" s="403"/>
      <c r="H244" s="403"/>
      <c r="I244" s="404"/>
      <c r="J244" s="404"/>
      <c r="K244" s="404"/>
      <c r="L244" s="405"/>
      <c r="M244" s="405"/>
      <c r="N244" s="406"/>
      <c r="O244" s="407"/>
      <c r="P244" s="408"/>
      <c r="Q244" s="409"/>
      <c r="R244" s="409"/>
      <c r="S244" s="410"/>
      <c r="T244" s="85"/>
      <c r="U244" s="784"/>
      <c r="V244" s="784"/>
      <c r="X244" s="855"/>
      <c r="Y244" s="784"/>
      <c r="Z244" s="973"/>
      <c r="AA244" s="1"/>
      <c r="AB244" s="1"/>
      <c r="AC244" s="1"/>
      <c r="AD244" s="1"/>
      <c r="AE244" s="1"/>
      <c r="IQ244" s="86"/>
      <c r="IR244" s="86"/>
      <c r="IS244" s="86"/>
      <c r="IT244" s="86"/>
      <c r="IU244" s="86"/>
      <c r="IV244" s="86"/>
    </row>
    <row r="245" spans="1:256" s="73" customFormat="1">
      <c r="A245" s="1134"/>
      <c r="B245" s="340" t="s">
        <v>112</v>
      </c>
      <c r="C245" s="341"/>
      <c r="D245" s="342"/>
      <c r="E245" s="342"/>
      <c r="F245" s="342"/>
      <c r="G245" s="342"/>
      <c r="H245" s="342"/>
      <c r="I245" s="343"/>
      <c r="J245" s="343"/>
      <c r="K245" s="343"/>
      <c r="L245" s="304"/>
      <c r="M245" s="304"/>
      <c r="N245" s="305"/>
      <c r="O245" s="207"/>
      <c r="P245" s="344"/>
      <c r="Q245" s="345"/>
      <c r="R245" s="345"/>
      <c r="S245" s="346"/>
      <c r="T245" s="844"/>
      <c r="U245" s="835"/>
      <c r="V245" s="835"/>
      <c r="W245" s="229"/>
      <c r="X245" s="854"/>
      <c r="Y245" s="835"/>
      <c r="Z245" s="982"/>
      <c r="AA245" s="1"/>
      <c r="AB245" s="1"/>
      <c r="AC245" s="1"/>
      <c r="AD245" s="1"/>
      <c r="AE245" s="1"/>
      <c r="IQ245" s="86"/>
      <c r="IR245" s="86"/>
      <c r="IS245" s="86"/>
      <c r="IT245" s="86"/>
      <c r="IU245" s="86"/>
      <c r="IV245" s="86"/>
    </row>
    <row r="246" spans="1:256" s="73" customFormat="1" ht="12" thickBot="1">
      <c r="A246" s="1131"/>
      <c r="B246" s="347" t="s">
        <v>122</v>
      </c>
      <c r="C246" s="348">
        <v>0</v>
      </c>
      <c r="D246" s="349">
        <v>0</v>
      </c>
      <c r="E246" s="349">
        <v>0</v>
      </c>
      <c r="F246" s="349">
        <v>0</v>
      </c>
      <c r="G246" s="349">
        <v>0</v>
      </c>
      <c r="H246" s="45">
        <f>SUM(C246:G246)</f>
        <v>0</v>
      </c>
      <c r="I246" s="46">
        <f>D246*$O246</f>
        <v>0</v>
      </c>
      <c r="J246" s="46">
        <f>E246*$O246</f>
        <v>0</v>
      </c>
      <c r="K246" s="46">
        <f>F246*$O246</f>
        <v>0</v>
      </c>
      <c r="L246" s="47">
        <f>((C246*$C$5)+(D246*$D$5)+(E246*$E$5)+(F246*$F$5)+(G246*$G$5))</f>
        <v>0</v>
      </c>
      <c r="M246" s="350">
        <v>0</v>
      </c>
      <c r="N246" s="351">
        <v>0</v>
      </c>
      <c r="O246" s="49">
        <v>0</v>
      </c>
      <c r="P246" s="50">
        <f>(C246+D246+E246+F246+G246)*O246</f>
        <v>0</v>
      </c>
      <c r="Q246" s="51">
        <f>M246*O246</f>
        <v>0</v>
      </c>
      <c r="R246" s="51">
        <f>N246*O246</f>
        <v>0</v>
      </c>
      <c r="S246" s="52">
        <f>(L246+M246+N246)*O246</f>
        <v>0</v>
      </c>
      <c r="T246" s="823"/>
      <c r="U246" s="828"/>
      <c r="V246" s="828"/>
      <c r="W246" s="847"/>
      <c r="X246" s="884"/>
      <c r="Y246" s="828"/>
      <c r="Z246" s="1147"/>
      <c r="AA246" s="1"/>
      <c r="AB246" s="1"/>
      <c r="AC246" s="1"/>
      <c r="AD246" s="1"/>
      <c r="AE246" s="1"/>
      <c r="IQ246" s="86"/>
      <c r="IR246" s="86"/>
      <c r="IS246" s="86"/>
      <c r="IT246" s="86"/>
      <c r="IU246" s="86"/>
      <c r="IV246" s="86"/>
    </row>
    <row r="247" spans="1:256" s="73" customFormat="1" ht="12.75" thickTop="1" thickBot="1">
      <c r="A247" s="1132" t="s">
        <v>29</v>
      </c>
      <c r="B247" s="421"/>
      <c r="C247" s="173">
        <f t="shared" ref="C247:H247" si="71">C246</f>
        <v>0</v>
      </c>
      <c r="D247" s="173">
        <f t="shared" si="71"/>
        <v>0</v>
      </c>
      <c r="E247" s="173">
        <f t="shared" si="71"/>
        <v>0</v>
      </c>
      <c r="F247" s="173">
        <f t="shared" si="71"/>
        <v>0</v>
      </c>
      <c r="G247" s="173">
        <f t="shared" si="71"/>
        <v>0</v>
      </c>
      <c r="H247" s="173">
        <f t="shared" si="71"/>
        <v>0</v>
      </c>
      <c r="I247" s="275" t="e">
        <f>#REF!</f>
        <v>#REF!</v>
      </c>
      <c r="J247" s="275" t="e">
        <f>#REF!</f>
        <v>#REF!</v>
      </c>
      <c r="K247" s="275" t="e">
        <f>#REF!</f>
        <v>#REF!</v>
      </c>
      <c r="L247" s="72">
        <f t="shared" ref="L247:S247" si="72">L246</f>
        <v>0</v>
      </c>
      <c r="M247" s="72">
        <f t="shared" si="72"/>
        <v>0</v>
      </c>
      <c r="N247" s="69">
        <f t="shared" si="72"/>
        <v>0</v>
      </c>
      <c r="O247" s="176"/>
      <c r="P247" s="176">
        <f t="shared" si="72"/>
        <v>0</v>
      </c>
      <c r="Q247" s="72">
        <f t="shared" si="72"/>
        <v>0</v>
      </c>
      <c r="R247" s="72">
        <f t="shared" si="72"/>
        <v>0</v>
      </c>
      <c r="S247" s="72">
        <f t="shared" si="72"/>
        <v>0</v>
      </c>
      <c r="T247" s="882">
        <f t="shared" ref="T247:Z247" si="73">T246</f>
        <v>0</v>
      </c>
      <c r="U247" s="883">
        <f t="shared" si="73"/>
        <v>0</v>
      </c>
      <c r="V247" s="883">
        <f t="shared" si="73"/>
        <v>0</v>
      </c>
      <c r="W247" s="882">
        <f t="shared" si="73"/>
        <v>0</v>
      </c>
      <c r="X247" s="883">
        <f t="shared" si="73"/>
        <v>0</v>
      </c>
      <c r="Y247" s="883">
        <f t="shared" si="73"/>
        <v>0</v>
      </c>
      <c r="Z247" s="1148">
        <f t="shared" si="73"/>
        <v>0</v>
      </c>
      <c r="AA247" s="1"/>
      <c r="AB247" s="1"/>
      <c r="AC247" s="1"/>
      <c r="AD247" s="1"/>
      <c r="AE247" s="1"/>
      <c r="IQ247" s="86"/>
      <c r="IR247" s="86"/>
      <c r="IS247" s="86"/>
      <c r="IT247" s="86"/>
      <c r="IU247" s="86"/>
      <c r="IV247" s="86"/>
    </row>
    <row r="248" spans="1:256" s="73" customFormat="1" ht="12" thickTop="1">
      <c r="A248" s="1135" t="s">
        <v>123</v>
      </c>
      <c r="B248" s="451"/>
      <c r="C248" s="403"/>
      <c r="D248" s="403"/>
      <c r="E248" s="403"/>
      <c r="F248" s="403"/>
      <c r="G248" s="403"/>
      <c r="H248" s="403"/>
      <c r="I248" s="404"/>
      <c r="J248" s="404"/>
      <c r="K248" s="404"/>
      <c r="L248" s="405"/>
      <c r="M248" s="405"/>
      <c r="N248" s="406"/>
      <c r="O248" s="407"/>
      <c r="P248" s="408"/>
      <c r="Q248" s="409"/>
      <c r="R248" s="409"/>
      <c r="S248" s="410"/>
      <c r="T248" s="85"/>
      <c r="U248" s="784"/>
      <c r="V248" s="784"/>
      <c r="X248" s="855"/>
      <c r="Y248" s="784"/>
      <c r="Z248" s="973"/>
      <c r="AA248" s="1"/>
      <c r="AB248" s="1"/>
      <c r="AC248" s="1"/>
      <c r="AD248" s="1"/>
      <c r="AE248" s="1"/>
      <c r="IQ248" s="86"/>
      <c r="IR248" s="86"/>
      <c r="IS248" s="86"/>
      <c r="IT248" s="86"/>
      <c r="IU248" s="86"/>
      <c r="IV248" s="86"/>
    </row>
    <row r="249" spans="1:256" s="73" customFormat="1">
      <c r="A249" s="1134"/>
      <c r="B249" s="340" t="s">
        <v>112</v>
      </c>
      <c r="C249" s="341"/>
      <c r="D249" s="342"/>
      <c r="E249" s="342"/>
      <c r="F249" s="342"/>
      <c r="G249" s="342"/>
      <c r="H249" s="342"/>
      <c r="I249" s="343"/>
      <c r="J249" s="343"/>
      <c r="K249" s="343"/>
      <c r="L249" s="304"/>
      <c r="M249" s="304"/>
      <c r="N249" s="305"/>
      <c r="O249" s="207"/>
      <c r="P249" s="344"/>
      <c r="Q249" s="345"/>
      <c r="R249" s="345"/>
      <c r="S249" s="346"/>
      <c r="T249" s="844"/>
      <c r="U249" s="835"/>
      <c r="V249" s="835"/>
      <c r="W249" s="229"/>
      <c r="X249" s="854"/>
      <c r="Y249" s="835"/>
      <c r="Z249" s="982"/>
      <c r="AA249" s="1"/>
      <c r="AB249" s="1"/>
      <c r="AC249" s="1"/>
      <c r="AD249" s="1"/>
      <c r="AE249" s="1"/>
      <c r="IQ249" s="86"/>
      <c r="IR249" s="86"/>
      <c r="IS249" s="86"/>
      <c r="IT249" s="86"/>
      <c r="IU249" s="86"/>
      <c r="IV249" s="86"/>
    </row>
    <row r="250" spans="1:256" s="73" customFormat="1">
      <c r="A250" s="1131"/>
      <c r="B250" s="347" t="s">
        <v>124</v>
      </c>
      <c r="C250" s="348">
        <v>0</v>
      </c>
      <c r="D250" s="349">
        <v>0</v>
      </c>
      <c r="E250" s="349">
        <v>0</v>
      </c>
      <c r="F250" s="349">
        <v>0</v>
      </c>
      <c r="G250" s="349">
        <v>0</v>
      </c>
      <c r="H250" s="45">
        <f>SUM(C250:G250)</f>
        <v>0</v>
      </c>
      <c r="I250" s="46">
        <f>D250*$O250</f>
        <v>0</v>
      </c>
      <c r="J250" s="46">
        <f>E250*$O250</f>
        <v>0</v>
      </c>
      <c r="K250" s="46">
        <f>F250*$O250</f>
        <v>0</v>
      </c>
      <c r="L250" s="47">
        <f>((C250*$C$5)+(D250*$D$5)+(E250*$E$5)+(F250*$F$5)+(G250*$G$5))</f>
        <v>0</v>
      </c>
      <c r="M250" s="350">
        <v>0</v>
      </c>
      <c r="N250" s="351">
        <v>0</v>
      </c>
      <c r="O250" s="49">
        <v>0</v>
      </c>
      <c r="P250" s="50">
        <f>(C250+D250+E250+F250+G250)*O250</f>
        <v>0</v>
      </c>
      <c r="Q250" s="155">
        <f>M250*O250</f>
        <v>0</v>
      </c>
      <c r="R250" s="156">
        <f>N250*O250</f>
        <v>0</v>
      </c>
      <c r="S250" s="52">
        <f>(L250+M250+N250)*O250</f>
        <v>0</v>
      </c>
      <c r="T250" s="85" t="s">
        <v>407</v>
      </c>
      <c r="U250" s="842" t="str">
        <f>IF($T250="RP",O250,"")</f>
        <v/>
      </c>
      <c r="V250" s="842" t="str">
        <f>IF($T250="RP",P250,"")</f>
        <v/>
      </c>
      <c r="W250" s="842" t="str">
        <f>IF($T250="RP",SUM(Q250:R250),"")</f>
        <v/>
      </c>
      <c r="X250" s="842">
        <f>IF($T250="RK",O250,"")</f>
        <v>0</v>
      </c>
      <c r="Y250" s="842">
        <f>IF($T250="RK",P250,"")</f>
        <v>0</v>
      </c>
      <c r="Z250" s="984">
        <f>IF($T250="Rk",SUM(Q250:R250),"")</f>
        <v>0</v>
      </c>
      <c r="AA250" s="1"/>
      <c r="AB250" s="1"/>
      <c r="AC250" s="1"/>
      <c r="AD250" s="1"/>
      <c r="AE250" s="1"/>
      <c r="IQ250" s="86"/>
      <c r="IR250" s="86"/>
      <c r="IS250" s="86"/>
      <c r="IT250" s="86"/>
      <c r="IU250" s="86"/>
      <c r="IV250" s="86"/>
    </row>
    <row r="251" spans="1:256" s="73" customFormat="1">
      <c r="A251" s="1134"/>
      <c r="B251" s="340" t="s">
        <v>125</v>
      </c>
      <c r="C251" s="441"/>
      <c r="D251" s="441"/>
      <c r="E251" s="441"/>
      <c r="F251" s="441"/>
      <c r="G251" s="441"/>
      <c r="H251" s="442"/>
      <c r="I251" s="443"/>
      <c r="J251" s="443"/>
      <c r="K251" s="443"/>
      <c r="L251" s="110"/>
      <c r="M251" s="444"/>
      <c r="N251" s="445"/>
      <c r="O251" s="207"/>
      <c r="P251" s="182"/>
      <c r="Q251" s="51"/>
      <c r="R251" s="51"/>
      <c r="S251" s="183"/>
      <c r="T251" s="844"/>
      <c r="U251" s="835"/>
      <c r="V251" s="835"/>
      <c r="W251" s="229"/>
      <c r="X251" s="854"/>
      <c r="Y251" s="835"/>
      <c r="Z251" s="982"/>
      <c r="AA251" s="1"/>
      <c r="AB251" s="1"/>
      <c r="AC251" s="1"/>
      <c r="AD251" s="1"/>
      <c r="AE251" s="1"/>
      <c r="IQ251" s="86"/>
      <c r="IR251" s="86"/>
      <c r="IS251" s="86"/>
      <c r="IT251" s="86"/>
      <c r="IU251" s="86"/>
      <c r="IV251" s="86"/>
    </row>
    <row r="252" spans="1:256" s="73" customFormat="1">
      <c r="A252" s="1134"/>
      <c r="B252" s="340" t="s">
        <v>126</v>
      </c>
      <c r="C252" s="447">
        <v>0</v>
      </c>
      <c r="D252" s="447">
        <v>0.5</v>
      </c>
      <c r="E252" s="447">
        <v>4</v>
      </c>
      <c r="F252" s="447">
        <v>1</v>
      </c>
      <c r="G252" s="447">
        <v>0</v>
      </c>
      <c r="H252" s="45">
        <f>SUM(C252:G252)</f>
        <v>5.5</v>
      </c>
      <c r="I252" s="448"/>
      <c r="J252" s="448"/>
      <c r="K252" s="448"/>
      <c r="L252" s="47">
        <f>((C252*$C$5)+(D252*$D$5)+(E252*$E$5)+(F252*$F$5)+(G252*$G$5))</f>
        <v>387.88399999999996</v>
      </c>
      <c r="M252" s="449">
        <v>0</v>
      </c>
      <c r="N252" s="450">
        <v>8</v>
      </c>
      <c r="O252" s="216">
        <f>0.1*P10</f>
        <v>6.4</v>
      </c>
      <c r="P252" s="50">
        <f>(C252+D252+E252+F252+G252)*O252</f>
        <v>35.200000000000003</v>
      </c>
      <c r="Q252" s="155">
        <f>M252*O252</f>
        <v>0</v>
      </c>
      <c r="R252" s="156">
        <f>N252*O252</f>
        <v>51.2</v>
      </c>
      <c r="S252" s="52">
        <f>(L252+M252+N252)*O252</f>
        <v>2533.6576</v>
      </c>
      <c r="T252" s="841" t="s">
        <v>408</v>
      </c>
      <c r="U252" s="842">
        <f>IF($T252="RP",O252,"")</f>
        <v>6.4</v>
      </c>
      <c r="V252" s="842">
        <f>IF($T252="RP",P252,"")</f>
        <v>35.200000000000003</v>
      </c>
      <c r="W252" s="842">
        <f>IF($T252="RP",SUM(Q252:R252),"")</f>
        <v>51.2</v>
      </c>
      <c r="X252" s="842" t="str">
        <f>IF($T252="RK",O252,"")</f>
        <v/>
      </c>
      <c r="Y252" s="842" t="str">
        <f>IF($T252="RK",P252,"")</f>
        <v/>
      </c>
      <c r="Z252" s="984" t="str">
        <f>IF($T252="Rk",SUM(Q252:R252),"")</f>
        <v/>
      </c>
      <c r="AA252" s="1"/>
      <c r="AB252" s="1"/>
      <c r="AC252" s="1"/>
      <c r="AD252" s="1"/>
      <c r="AE252" s="1"/>
      <c r="IQ252" s="86"/>
      <c r="IR252" s="86"/>
      <c r="IS252" s="86"/>
      <c r="IT252" s="86"/>
      <c r="IU252" s="86"/>
      <c r="IV252" s="86"/>
    </row>
    <row r="253" spans="1:256" s="73" customFormat="1">
      <c r="A253" s="1130"/>
      <c r="B253" s="411" t="s">
        <v>106</v>
      </c>
      <c r="C253" s="452"/>
      <c r="D253" s="452"/>
      <c r="E253" s="452"/>
      <c r="F253" s="452"/>
      <c r="G253" s="452"/>
      <c r="H253" s="145"/>
      <c r="I253" s="453"/>
      <c r="J253" s="453"/>
      <c r="K253" s="453"/>
      <c r="L253" s="456"/>
      <c r="M253" s="454"/>
      <c r="N253" s="455"/>
      <c r="O253" s="207"/>
      <c r="P253" s="182"/>
      <c r="Q253" s="51"/>
      <c r="R253" s="51"/>
      <c r="S253" s="183"/>
      <c r="T253" s="85"/>
      <c r="U253" s="784"/>
      <c r="V253" s="784"/>
      <c r="X253" s="855"/>
      <c r="Y253" s="784"/>
      <c r="Z253" s="973"/>
      <c r="AA253" s="1"/>
      <c r="AB253" s="1"/>
      <c r="AC253" s="1"/>
      <c r="AD253" s="1"/>
      <c r="AE253" s="1"/>
      <c r="IQ253" s="86"/>
      <c r="IR253" s="86"/>
      <c r="IS253" s="86"/>
      <c r="IT253" s="86"/>
      <c r="IU253" s="86"/>
      <c r="IV253" s="86"/>
    </row>
    <row r="254" spans="1:256" s="73" customFormat="1">
      <c r="A254" s="1134"/>
      <c r="B254" s="340" t="s">
        <v>127</v>
      </c>
      <c r="C254" s="352"/>
      <c r="D254" s="352"/>
      <c r="E254" s="352"/>
      <c r="F254" s="352"/>
      <c r="G254" s="352"/>
      <c r="H254" s="353"/>
      <c r="I254" s="354"/>
      <c r="J254" s="354"/>
      <c r="K254" s="354"/>
      <c r="L254" s="118"/>
      <c r="M254" s="355"/>
      <c r="N254" s="356"/>
      <c r="O254" s="207"/>
      <c r="P254" s="182"/>
      <c r="Q254" s="51"/>
      <c r="R254" s="51"/>
      <c r="S254" s="183"/>
      <c r="T254" s="85"/>
      <c r="U254" s="784"/>
      <c r="V254" s="784"/>
      <c r="X254" s="855"/>
      <c r="Y254" s="784"/>
      <c r="Z254" s="973"/>
      <c r="AA254" s="1"/>
      <c r="AB254" s="1"/>
      <c r="AC254" s="1"/>
      <c r="AD254" s="1"/>
      <c r="AE254" s="1"/>
      <c r="IQ254" s="86"/>
      <c r="IR254" s="86"/>
      <c r="IS254" s="86"/>
      <c r="IT254" s="86"/>
      <c r="IU254" s="86"/>
      <c r="IV254" s="86"/>
    </row>
    <row r="255" spans="1:256" s="73" customFormat="1" ht="12" thickBot="1">
      <c r="A255" s="1134"/>
      <c r="B255" s="340" t="s">
        <v>128</v>
      </c>
      <c r="C255" s="357">
        <v>0</v>
      </c>
      <c r="D255" s="357">
        <v>0</v>
      </c>
      <c r="E255" s="357">
        <v>12</v>
      </c>
      <c r="F255" s="357">
        <v>0</v>
      </c>
      <c r="G255" s="357">
        <v>0</v>
      </c>
      <c r="H255" s="45">
        <f>SUM(C255:G255)</f>
        <v>12</v>
      </c>
      <c r="I255" s="358"/>
      <c r="J255" s="358"/>
      <c r="K255" s="358"/>
      <c r="L255" s="47">
        <f>((C255*$C$5)+(D255*$D$5)+(E255*$E$5)+(F255*$F$5)+(G255*$G$5))</f>
        <v>909.7199999999998</v>
      </c>
      <c r="M255" s="359">
        <v>0</v>
      </c>
      <c r="N255" s="360">
        <v>0</v>
      </c>
      <c r="O255" s="457">
        <v>0</v>
      </c>
      <c r="P255" s="50">
        <f>(C255+D255+E255+F255+G255)*O255</f>
        <v>0</v>
      </c>
      <c r="Q255" s="51">
        <f>M255*O255</f>
        <v>0</v>
      </c>
      <c r="R255" s="51">
        <f>N255*O255</f>
        <v>0</v>
      </c>
      <c r="S255" s="52">
        <f>(L255+M255+N255)*O255</f>
        <v>0</v>
      </c>
      <c r="T255" s="85" t="s">
        <v>407</v>
      </c>
      <c r="U255" s="842" t="str">
        <f>IF($T255="RP",O255,"")</f>
        <v/>
      </c>
      <c r="V255" s="842" t="str">
        <f>IF($T255="RP",P255,"")</f>
        <v/>
      </c>
      <c r="W255" s="842" t="str">
        <f>IF($T255="RP",SUM(Q255:R255),"")</f>
        <v/>
      </c>
      <c r="X255" s="842">
        <f>IF($T255="RK",O255,"")</f>
        <v>0</v>
      </c>
      <c r="Y255" s="842">
        <f>IF($T255="RK",P255,"")</f>
        <v>0</v>
      </c>
      <c r="Z255" s="984">
        <f>IF($T255="Rk",SUM(Q255:R255),"")</f>
        <v>0</v>
      </c>
      <c r="AA255" s="1"/>
      <c r="AB255" s="1"/>
      <c r="AC255" s="1"/>
      <c r="AD255" s="1"/>
      <c r="AE255" s="1"/>
      <c r="IQ255" s="86"/>
      <c r="IR255" s="86"/>
      <c r="IS255" s="86"/>
      <c r="IT255" s="86"/>
      <c r="IU255" s="86"/>
      <c r="IV255" s="86"/>
    </row>
    <row r="256" spans="1:256" s="73" customFormat="1" ht="12.75" thickTop="1" thickBot="1">
      <c r="A256" s="1132" t="s">
        <v>29</v>
      </c>
      <c r="B256" s="421"/>
      <c r="C256" s="173">
        <f t="shared" ref="C256:H256" si="74">SUM(C250:C255)</f>
        <v>0</v>
      </c>
      <c r="D256" s="173">
        <f t="shared" si="74"/>
        <v>0.5</v>
      </c>
      <c r="E256" s="173">
        <f t="shared" si="74"/>
        <v>16</v>
      </c>
      <c r="F256" s="173">
        <f t="shared" si="74"/>
        <v>1</v>
      </c>
      <c r="G256" s="173">
        <f t="shared" si="74"/>
        <v>0</v>
      </c>
      <c r="H256" s="173">
        <f t="shared" si="74"/>
        <v>17.5</v>
      </c>
      <c r="I256" s="275" t="e">
        <f>#REF!</f>
        <v>#REF!</v>
      </c>
      <c r="J256" s="275" t="e">
        <f>#REF!</f>
        <v>#REF!</v>
      </c>
      <c r="K256" s="275" t="e">
        <f>#REF!</f>
        <v>#REF!</v>
      </c>
      <c r="L256" s="72">
        <f t="shared" ref="L256:S256" si="75">SUM(L250:L255)</f>
        <v>1297.6039999999998</v>
      </c>
      <c r="M256" s="72">
        <f t="shared" si="75"/>
        <v>0</v>
      </c>
      <c r="N256" s="69">
        <f t="shared" si="75"/>
        <v>8</v>
      </c>
      <c r="O256" s="176"/>
      <c r="P256" s="176">
        <f t="shared" si="75"/>
        <v>35.200000000000003</v>
      </c>
      <c r="Q256" s="72">
        <f t="shared" si="75"/>
        <v>0</v>
      </c>
      <c r="R256" s="72">
        <f t="shared" si="75"/>
        <v>51.2</v>
      </c>
      <c r="S256" s="72">
        <f t="shared" si="75"/>
        <v>2533.6576</v>
      </c>
      <c r="T256" s="72">
        <f t="shared" ref="T256:Z256" si="76">SUM(T250:T255)</f>
        <v>0</v>
      </c>
      <c r="U256" s="850">
        <f t="shared" si="76"/>
        <v>6.4</v>
      </c>
      <c r="V256" s="850">
        <f t="shared" si="76"/>
        <v>35.200000000000003</v>
      </c>
      <c r="W256" s="72">
        <f t="shared" si="76"/>
        <v>51.2</v>
      </c>
      <c r="X256" s="850">
        <f t="shared" si="76"/>
        <v>0</v>
      </c>
      <c r="Y256" s="850">
        <f t="shared" si="76"/>
        <v>0</v>
      </c>
      <c r="Z256" s="988">
        <f t="shared" si="76"/>
        <v>0</v>
      </c>
      <c r="AA256" s="1"/>
      <c r="AB256" s="1"/>
      <c r="AC256" s="1"/>
      <c r="AD256" s="1"/>
      <c r="AE256" s="1"/>
      <c r="IQ256" s="86"/>
      <c r="IR256" s="86"/>
      <c r="IS256" s="86"/>
      <c r="IT256" s="86"/>
      <c r="IU256" s="86"/>
      <c r="IV256" s="86"/>
    </row>
    <row r="257" spans="1:256" s="73" customFormat="1" ht="12" thickTop="1">
      <c r="A257" s="1135" t="s">
        <v>349</v>
      </c>
      <c r="B257" s="440"/>
      <c r="C257" s="403"/>
      <c r="D257" s="403"/>
      <c r="E257" s="403"/>
      <c r="F257" s="403"/>
      <c r="G257" s="403"/>
      <c r="H257" s="403"/>
      <c r="I257" s="404"/>
      <c r="J257" s="404"/>
      <c r="K257" s="404"/>
      <c r="L257" s="405"/>
      <c r="M257" s="405"/>
      <c r="N257" s="406"/>
      <c r="O257" s="407"/>
      <c r="P257" s="408"/>
      <c r="Q257" s="409"/>
      <c r="R257" s="409"/>
      <c r="S257" s="410"/>
      <c r="T257" s="85"/>
      <c r="U257" s="784"/>
      <c r="V257" s="784"/>
      <c r="X257" s="855"/>
      <c r="Y257" s="784"/>
      <c r="Z257" s="973"/>
      <c r="AA257" s="1"/>
      <c r="AB257" s="1"/>
      <c r="AC257" s="1"/>
      <c r="AD257" s="1"/>
      <c r="AE257" s="1"/>
      <c r="IQ257" s="86"/>
      <c r="IR257" s="86"/>
      <c r="IS257" s="86"/>
      <c r="IT257" s="86"/>
      <c r="IU257" s="86"/>
      <c r="IV257" s="86"/>
    </row>
    <row r="258" spans="1:256" s="73" customFormat="1">
      <c r="A258" s="1134"/>
      <c r="B258" s="340" t="s">
        <v>129</v>
      </c>
      <c r="C258" s="341"/>
      <c r="D258" s="342"/>
      <c r="E258" s="342"/>
      <c r="F258" s="342"/>
      <c r="G258" s="342"/>
      <c r="H258" s="342"/>
      <c r="I258" s="343"/>
      <c r="J258" s="343"/>
      <c r="K258" s="343"/>
      <c r="L258" s="304"/>
      <c r="M258" s="304"/>
      <c r="N258" s="305"/>
      <c r="O258" s="207"/>
      <c r="P258" s="344"/>
      <c r="Q258" s="345"/>
      <c r="R258" s="345"/>
      <c r="S258" s="346"/>
      <c r="T258" s="85"/>
      <c r="U258" s="784"/>
      <c r="V258" s="784"/>
      <c r="X258" s="855"/>
      <c r="Y258" s="784"/>
      <c r="Z258" s="973"/>
      <c r="AA258" s="1"/>
      <c r="AB258" s="1"/>
      <c r="AC258" s="1"/>
      <c r="AD258" s="1"/>
      <c r="AE258" s="1"/>
      <c r="IQ258" s="86"/>
      <c r="IR258" s="86"/>
      <c r="IS258" s="86"/>
      <c r="IT258" s="86"/>
      <c r="IU258" s="86"/>
      <c r="IV258" s="86"/>
    </row>
    <row r="259" spans="1:256" s="73" customFormat="1">
      <c r="A259" s="1131"/>
      <c r="B259" s="347" t="s">
        <v>130</v>
      </c>
      <c r="C259" s="348">
        <v>0</v>
      </c>
      <c r="D259" s="349">
        <v>0</v>
      </c>
      <c r="E259" s="349">
        <v>0</v>
      </c>
      <c r="F259" s="349">
        <v>0</v>
      </c>
      <c r="G259" s="349">
        <v>0</v>
      </c>
      <c r="H259" s="45">
        <f>SUM(C259:G259)</f>
        <v>0</v>
      </c>
      <c r="I259" s="46">
        <f>D259*$O259</f>
        <v>0</v>
      </c>
      <c r="J259" s="46">
        <f>E259*$O259</f>
        <v>0</v>
      </c>
      <c r="K259" s="46">
        <f>F259*$O259</f>
        <v>0</v>
      </c>
      <c r="L259" s="47">
        <f>((C259*$C$5)+(D259*$D$5)+(E259*$E$5)+(F259*$F$5)+(G259*$G$5))</f>
        <v>0</v>
      </c>
      <c r="M259" s="350">
        <v>0</v>
      </c>
      <c r="N259" s="351">
        <v>0</v>
      </c>
      <c r="O259" s="49">
        <v>0</v>
      </c>
      <c r="P259" s="50">
        <f>(C259+D259+E259+F259+G259)*O259</f>
        <v>0</v>
      </c>
      <c r="Q259" s="155">
        <f>M259*O259</f>
        <v>0</v>
      </c>
      <c r="R259" s="156">
        <f>N259*O259</f>
        <v>0</v>
      </c>
      <c r="S259" s="52">
        <f>(L259+M259+N259)*O259</f>
        <v>0</v>
      </c>
      <c r="T259" s="841" t="s">
        <v>407</v>
      </c>
      <c r="U259" s="842" t="str">
        <f>IF($T259="RP",O259,"")</f>
        <v/>
      </c>
      <c r="V259" s="842" t="str">
        <f>IF($T259="RP",P259,"")</f>
        <v/>
      </c>
      <c r="W259" s="842" t="str">
        <f>IF($T259="RP",SUM(Q259:R259),"")</f>
        <v/>
      </c>
      <c r="X259" s="842">
        <f>IF($T259="RK",O259,"")</f>
        <v>0</v>
      </c>
      <c r="Y259" s="842">
        <f>IF($T259="RK",P259,"")</f>
        <v>0</v>
      </c>
      <c r="Z259" s="984">
        <f>IF($T259="Rk",SUM(Q259:R259),"")</f>
        <v>0</v>
      </c>
      <c r="AA259" s="1"/>
      <c r="AB259" s="1"/>
      <c r="AC259" s="1"/>
      <c r="AD259" s="1"/>
      <c r="AE259" s="1"/>
      <c r="IQ259" s="86"/>
      <c r="IR259" s="86"/>
      <c r="IS259" s="86"/>
      <c r="IT259" s="86"/>
      <c r="IU259" s="86"/>
      <c r="IV259" s="86"/>
    </row>
    <row r="260" spans="1:256" s="73" customFormat="1">
      <c r="A260" s="1130"/>
      <c r="B260" s="411" t="s">
        <v>131</v>
      </c>
      <c r="C260" s="441"/>
      <c r="D260" s="441"/>
      <c r="E260" s="441"/>
      <c r="F260" s="441"/>
      <c r="G260" s="441"/>
      <c r="H260" s="442"/>
      <c r="I260" s="443"/>
      <c r="J260" s="443"/>
      <c r="K260" s="443"/>
      <c r="L260" s="110"/>
      <c r="M260" s="444"/>
      <c r="N260" s="445"/>
      <c r="O260" s="207"/>
      <c r="P260" s="182"/>
      <c r="Q260" s="51"/>
      <c r="R260" s="51"/>
      <c r="S260" s="183"/>
      <c r="T260" s="85"/>
      <c r="U260" s="784"/>
      <c r="V260" s="784"/>
      <c r="X260" s="855"/>
      <c r="Y260" s="784"/>
      <c r="Z260" s="973"/>
      <c r="AA260" s="1"/>
      <c r="AB260" s="1"/>
      <c r="AC260" s="1"/>
      <c r="AD260" s="1"/>
      <c r="AE260" s="1"/>
      <c r="IQ260" s="86"/>
      <c r="IR260" s="86"/>
      <c r="IS260" s="86"/>
      <c r="IT260" s="86"/>
      <c r="IU260" s="86"/>
      <c r="IV260" s="86"/>
    </row>
    <row r="261" spans="1:256" s="73" customFormat="1">
      <c r="A261" s="1134"/>
      <c r="B261" s="340" t="s">
        <v>132</v>
      </c>
      <c r="C261" s="352"/>
      <c r="D261" s="352"/>
      <c r="E261" s="352"/>
      <c r="F261" s="352"/>
      <c r="G261" s="352"/>
      <c r="H261" s="353"/>
      <c r="I261" s="354"/>
      <c r="J261" s="354"/>
      <c r="K261" s="354"/>
      <c r="L261" s="118"/>
      <c r="M261" s="355"/>
      <c r="N261" s="356"/>
      <c r="O261" s="207"/>
      <c r="P261" s="182"/>
      <c r="Q261" s="51"/>
      <c r="R261" s="51"/>
      <c r="S261" s="183"/>
      <c r="T261" s="85"/>
      <c r="U261" s="784"/>
      <c r="V261" s="784"/>
      <c r="X261" s="855"/>
      <c r="Y261" s="784"/>
      <c r="Z261" s="973"/>
      <c r="AA261" s="1"/>
      <c r="AB261" s="1"/>
      <c r="AC261" s="1"/>
      <c r="AD261" s="1"/>
      <c r="AE261" s="1"/>
      <c r="IQ261" s="86"/>
      <c r="IR261" s="86"/>
      <c r="IS261" s="86"/>
      <c r="IT261" s="86"/>
      <c r="IU261" s="86"/>
      <c r="IV261" s="86"/>
    </row>
    <row r="262" spans="1:256" s="73" customFormat="1">
      <c r="A262" s="1133"/>
      <c r="B262" s="446" t="s">
        <v>116</v>
      </c>
      <c r="C262" s="447">
        <v>0</v>
      </c>
      <c r="D262" s="447">
        <v>0</v>
      </c>
      <c r="E262" s="447">
        <v>0.25</v>
      </c>
      <c r="F262" s="447">
        <v>0</v>
      </c>
      <c r="G262" s="447">
        <v>0</v>
      </c>
      <c r="H262" s="45">
        <f>SUM(C262:G262)</f>
        <v>0.25</v>
      </c>
      <c r="I262" s="448"/>
      <c r="J262" s="448"/>
      <c r="K262" s="448"/>
      <c r="L262" s="47">
        <f>((C262*$C$5)+(D262*$D$5)+(E262*$E$5)+(F262*$F$5)+(G262*$G$5))</f>
        <v>18.952499999999997</v>
      </c>
      <c r="M262" s="449">
        <v>0</v>
      </c>
      <c r="N262" s="450">
        <v>0</v>
      </c>
      <c r="O262" s="139">
        <v>0</v>
      </c>
      <c r="P262" s="50">
        <f>(C262+D262+E262+F262+G262)*O262</f>
        <v>0</v>
      </c>
      <c r="Q262" s="155">
        <f>M262*O262</f>
        <v>0</v>
      </c>
      <c r="R262" s="156">
        <f>N262*O262</f>
        <v>0</v>
      </c>
      <c r="S262" s="52">
        <f>(L262+M262+N262)*O262</f>
        <v>0</v>
      </c>
      <c r="T262" s="841" t="s">
        <v>407</v>
      </c>
      <c r="U262" s="842" t="str">
        <f>IF($T262="RP",O262,"")</f>
        <v/>
      </c>
      <c r="V262" s="842" t="str">
        <f>IF($T262="RP",P262,"")</f>
        <v/>
      </c>
      <c r="W262" s="842" t="str">
        <f>IF($T262="RP",SUM(Q262:R262),"")</f>
        <v/>
      </c>
      <c r="X262" s="842">
        <f>IF($T262="RK",O262,"")</f>
        <v>0</v>
      </c>
      <c r="Y262" s="842">
        <f>IF($T262="RK",P262,"")</f>
        <v>0</v>
      </c>
      <c r="Z262" s="984">
        <f>IF($T262="Rk",SUM(Q262:R262),"")</f>
        <v>0</v>
      </c>
      <c r="AA262" s="1"/>
      <c r="AB262" s="1"/>
      <c r="AC262" s="1"/>
      <c r="AD262" s="1"/>
      <c r="AE262" s="1"/>
      <c r="IQ262" s="86"/>
      <c r="IR262" s="86"/>
      <c r="IS262" s="86"/>
      <c r="IT262" s="86"/>
      <c r="IU262" s="86"/>
      <c r="IV262" s="86"/>
    </row>
    <row r="263" spans="1:256" s="73" customFormat="1">
      <c r="A263" s="1134"/>
      <c r="B263" s="340" t="s">
        <v>106</v>
      </c>
      <c r="C263" s="452"/>
      <c r="D263" s="452"/>
      <c r="E263" s="452"/>
      <c r="F263" s="452"/>
      <c r="G263" s="452"/>
      <c r="H263" s="145"/>
      <c r="I263" s="453"/>
      <c r="J263" s="453"/>
      <c r="K263" s="453"/>
      <c r="L263" s="456"/>
      <c r="M263" s="454"/>
      <c r="N263" s="455"/>
      <c r="O263" s="457"/>
      <c r="P263" s="182"/>
      <c r="Q263" s="84"/>
      <c r="R263" s="458"/>
      <c r="S263" s="161"/>
      <c r="T263" s="85"/>
      <c r="U263" s="784"/>
      <c r="V263" s="784"/>
      <c r="X263" s="855"/>
      <c r="Y263" s="784"/>
      <c r="Z263" s="973"/>
      <c r="AA263" s="1"/>
      <c r="AB263" s="1"/>
      <c r="AC263" s="1"/>
      <c r="AD263" s="1"/>
      <c r="AE263" s="1"/>
      <c r="IQ263" s="86"/>
      <c r="IR263" s="86"/>
      <c r="IS263" s="86"/>
      <c r="IT263" s="86"/>
      <c r="IU263" s="86"/>
      <c r="IV263" s="86"/>
    </row>
    <row r="264" spans="1:256" s="73" customFormat="1" ht="12" thickBot="1">
      <c r="A264" s="1134"/>
      <c r="B264" s="340" t="s">
        <v>133</v>
      </c>
      <c r="C264" s="357">
        <v>0</v>
      </c>
      <c r="D264" s="357">
        <v>0</v>
      </c>
      <c r="E264" s="357">
        <v>12</v>
      </c>
      <c r="F264" s="357">
        <v>0</v>
      </c>
      <c r="G264" s="357">
        <v>0</v>
      </c>
      <c r="H264" s="45">
        <f>SUM(C264:G264)</f>
        <v>12</v>
      </c>
      <c r="I264" s="358"/>
      <c r="J264" s="358"/>
      <c r="K264" s="358"/>
      <c r="L264" s="47">
        <f>((C264*$C$5)+(D264*$D$5)+(E264*$E$5)+(F264*$F$5)+(G264*$G$5))</f>
        <v>909.7199999999998</v>
      </c>
      <c r="M264" s="359">
        <v>0</v>
      </c>
      <c r="N264" s="360">
        <v>0</v>
      </c>
      <c r="O264" s="457">
        <v>0</v>
      </c>
      <c r="P264" s="50">
        <f>(C264+D264+E264+F264+G264)*O264</f>
        <v>0</v>
      </c>
      <c r="Q264" s="51">
        <f>M264*O264</f>
        <v>0</v>
      </c>
      <c r="R264" s="51">
        <f>N264*O264</f>
        <v>0</v>
      </c>
      <c r="S264" s="52">
        <f>(L264+M264+N264)*O264</f>
        <v>0</v>
      </c>
      <c r="T264" s="841" t="s">
        <v>407</v>
      </c>
      <c r="U264" s="842" t="str">
        <f>IF($T264="RP",O264,"")</f>
        <v/>
      </c>
      <c r="V264" s="842" t="str">
        <f>IF($T264="RP",P264,"")</f>
        <v/>
      </c>
      <c r="W264" s="842" t="str">
        <f>IF($T264="RP",SUM(Q264:R264),"")</f>
        <v/>
      </c>
      <c r="X264" s="842">
        <f>IF($T264="RK",O264,"")</f>
        <v>0</v>
      </c>
      <c r="Y264" s="842">
        <f>IF($T264="RK",P264,"")</f>
        <v>0</v>
      </c>
      <c r="Z264" s="984">
        <f>IF($T264="Rk",SUM(Q264:R264),"")</f>
        <v>0</v>
      </c>
      <c r="AA264" s="1"/>
      <c r="AB264" s="1"/>
      <c r="AC264" s="1"/>
      <c r="AD264" s="1"/>
      <c r="AE264" s="1"/>
      <c r="IQ264" s="86"/>
      <c r="IR264" s="86"/>
      <c r="IS264" s="86"/>
      <c r="IT264" s="86"/>
      <c r="IU264" s="86"/>
      <c r="IV264" s="86"/>
    </row>
    <row r="265" spans="1:256" s="73" customFormat="1" ht="12.75" thickTop="1" thickBot="1">
      <c r="A265" s="1132" t="s">
        <v>29</v>
      </c>
      <c r="B265" s="421"/>
      <c r="C265" s="173">
        <f t="shared" ref="C265:H265" si="77">SUM(C259:C264)</f>
        <v>0</v>
      </c>
      <c r="D265" s="173">
        <f t="shared" si="77"/>
        <v>0</v>
      </c>
      <c r="E265" s="173">
        <f t="shared" si="77"/>
        <v>12.25</v>
      </c>
      <c r="F265" s="173">
        <f t="shared" si="77"/>
        <v>0</v>
      </c>
      <c r="G265" s="173">
        <f t="shared" si="77"/>
        <v>0</v>
      </c>
      <c r="H265" s="173">
        <f t="shared" si="77"/>
        <v>12.25</v>
      </c>
      <c r="I265" s="275" t="e">
        <f>#REF!</f>
        <v>#REF!</v>
      </c>
      <c r="J265" s="275" t="e">
        <f>#REF!</f>
        <v>#REF!</v>
      </c>
      <c r="K265" s="275" t="e">
        <f>#REF!</f>
        <v>#REF!</v>
      </c>
      <c r="L265" s="72">
        <f>SUM(L259:L264)</f>
        <v>928.67249999999979</v>
      </c>
      <c r="M265" s="72">
        <f>SUM(M259:M264)</f>
        <v>0</v>
      </c>
      <c r="N265" s="69">
        <f>SUM(N259:N264)</f>
        <v>0</v>
      </c>
      <c r="O265" s="59"/>
      <c r="P265" s="176">
        <f>SUM(P259:P264)</f>
        <v>0</v>
      </c>
      <c r="Q265" s="72">
        <f>SUM(Q259:Q264)</f>
        <v>0</v>
      </c>
      <c r="R265" s="72">
        <f>SUM(R259:R264)</f>
        <v>0</v>
      </c>
      <c r="S265" s="72">
        <f>SUM(S259:S264)</f>
        <v>0</v>
      </c>
      <c r="T265" s="72"/>
      <c r="U265" s="850">
        <f t="shared" ref="U265:Z265" si="78">SUM(U259:U264)</f>
        <v>0</v>
      </c>
      <c r="V265" s="850">
        <f t="shared" si="78"/>
        <v>0</v>
      </c>
      <c r="W265" s="72">
        <f t="shared" si="78"/>
        <v>0</v>
      </c>
      <c r="X265" s="850">
        <f t="shared" si="78"/>
        <v>0</v>
      </c>
      <c r="Y265" s="850">
        <f t="shared" si="78"/>
        <v>0</v>
      </c>
      <c r="Z265" s="988">
        <f t="shared" si="78"/>
        <v>0</v>
      </c>
      <c r="AA265" s="1"/>
      <c r="AB265" s="1"/>
      <c r="AC265" s="1"/>
      <c r="AD265" s="1"/>
      <c r="AE265" s="1"/>
      <c r="IQ265" s="86"/>
      <c r="IR265" s="86"/>
      <c r="IS265" s="86"/>
      <c r="IT265" s="86"/>
      <c r="IU265" s="86"/>
      <c r="IV265" s="86"/>
    </row>
    <row r="266" spans="1:256" s="73" customFormat="1" ht="12" thickTop="1">
      <c r="A266" s="980" t="s">
        <v>90</v>
      </c>
      <c r="B266" s="177"/>
      <c r="C266" s="257"/>
      <c r="D266" s="257"/>
      <c r="E266" s="257"/>
      <c r="F266" s="257"/>
      <c r="G266" s="257"/>
      <c r="H266" s="257"/>
      <c r="I266" s="258"/>
      <c r="J266" s="258"/>
      <c r="K266" s="258"/>
      <c r="L266" s="42"/>
      <c r="M266" s="259"/>
      <c r="N266" s="260"/>
      <c r="O266" s="261"/>
      <c r="P266" s="41"/>
      <c r="Q266" s="262"/>
      <c r="R266" s="262"/>
      <c r="S266" s="263"/>
      <c r="T266" s="838"/>
      <c r="U266" s="839"/>
      <c r="V266" s="839"/>
      <c r="W266" s="885"/>
      <c r="X266" s="886"/>
      <c r="Y266" s="839"/>
      <c r="Z266" s="971"/>
      <c r="AA266" s="1"/>
      <c r="AB266" s="1"/>
      <c r="AC266" s="1"/>
      <c r="AD266" s="1"/>
      <c r="AE266" s="1"/>
      <c r="IQ266" s="86"/>
      <c r="IR266" s="86"/>
      <c r="IS266" s="86"/>
      <c r="IT266" s="86"/>
      <c r="IU266" s="86"/>
      <c r="IV266" s="86"/>
    </row>
    <row r="267" spans="1:256" s="73" customFormat="1">
      <c r="A267" s="990"/>
      <c r="B267" s="130" t="s">
        <v>91</v>
      </c>
      <c r="C267" s="276"/>
      <c r="D267" s="276"/>
      <c r="E267" s="276"/>
      <c r="F267" s="276"/>
      <c r="G267" s="276"/>
      <c r="H267" s="276"/>
      <c r="I267" s="277"/>
      <c r="J267" s="277"/>
      <c r="K267" s="277"/>
      <c r="L267" s="278"/>
      <c r="M267" s="279"/>
      <c r="N267" s="280"/>
      <c r="O267" s="281"/>
      <c r="P267" s="282"/>
      <c r="Q267" s="283"/>
      <c r="R267" s="283"/>
      <c r="S267" s="278"/>
      <c r="T267" s="85"/>
      <c r="U267" s="784"/>
      <c r="V267" s="784"/>
      <c r="X267" s="855"/>
      <c r="Y267" s="784"/>
      <c r="Z267" s="973"/>
      <c r="AA267" s="1"/>
      <c r="AB267" s="1"/>
      <c r="AC267" s="1"/>
      <c r="AD267" s="1"/>
      <c r="AE267" s="1"/>
      <c r="IQ267" s="86"/>
      <c r="IR267" s="86"/>
      <c r="IS267" s="86"/>
      <c r="IT267" s="86"/>
      <c r="IU267" s="86"/>
      <c r="IV267" s="86"/>
    </row>
    <row r="268" spans="1:256" s="73" customFormat="1" ht="12" thickBot="1">
      <c r="A268" s="990"/>
      <c r="B268" s="130" t="s">
        <v>92</v>
      </c>
      <c r="C268" s="459">
        <v>0</v>
      </c>
      <c r="D268" s="459">
        <v>0</v>
      </c>
      <c r="E268" s="459">
        <v>0.25</v>
      </c>
      <c r="F268" s="459">
        <v>0</v>
      </c>
      <c r="G268" s="459">
        <v>0</v>
      </c>
      <c r="H268" s="45">
        <f>SUM(C268:G268)</f>
        <v>0.25</v>
      </c>
      <c r="I268" s="460"/>
      <c r="J268" s="460"/>
      <c r="K268" s="460"/>
      <c r="L268" s="461">
        <f>((C268*$C$5)+(D268*$D$5)+(E268*$E$5)+(F268*$F$5)+(G268*$G$5))</f>
        <v>18.952499999999997</v>
      </c>
      <c r="M268" s="462">
        <v>0</v>
      </c>
      <c r="N268" s="463">
        <v>0</v>
      </c>
      <c r="O268" s="464">
        <f>0.5*P10</f>
        <v>32</v>
      </c>
      <c r="P268" s="465">
        <f>(C268+D268+E268+F268+G268)*O268</f>
        <v>8</v>
      </c>
      <c r="Q268" s="466">
        <f>M268*O268</f>
        <v>0</v>
      </c>
      <c r="R268" s="466">
        <f>N268*O268</f>
        <v>0</v>
      </c>
      <c r="S268" s="461">
        <f>(L268+M268+N268)*O268</f>
        <v>606.4799999999999</v>
      </c>
      <c r="T268" s="841" t="s">
        <v>407</v>
      </c>
      <c r="U268" s="842" t="str">
        <f>IF($T268="RP",O268,"")</f>
        <v/>
      </c>
      <c r="V268" s="842" t="str">
        <f>IF($T268="RP",P268,"")</f>
        <v/>
      </c>
      <c r="W268" s="842" t="str">
        <f>IF($T268="RP",SUM(Q268:R268),"")</f>
        <v/>
      </c>
      <c r="X268" s="842">
        <f>IF($T268="RK",O268,"")</f>
        <v>32</v>
      </c>
      <c r="Y268" s="842">
        <f>IF($T268="RK",P268,"")</f>
        <v>8</v>
      </c>
      <c r="Z268" s="984">
        <f>IF($T268="Rk",SUM(Q268:R268),"")</f>
        <v>0</v>
      </c>
      <c r="AA268" s="1"/>
      <c r="AB268" s="1"/>
      <c r="AC268" s="1"/>
      <c r="AD268" s="1"/>
      <c r="AE268" s="1"/>
      <c r="IQ268" s="86"/>
      <c r="IR268" s="86"/>
      <c r="IS268" s="86"/>
      <c r="IT268" s="86"/>
      <c r="IU268" s="86"/>
      <c r="IV268" s="86"/>
    </row>
    <row r="269" spans="1:256" s="73" customFormat="1" ht="12.75" thickTop="1" thickBot="1">
      <c r="A269" s="1068" t="s">
        <v>29</v>
      </c>
      <c r="B269" s="172"/>
      <c r="C269" s="173">
        <f t="shared" ref="C269:H269" si="79">SUM(C268:C268)</f>
        <v>0</v>
      </c>
      <c r="D269" s="173">
        <f t="shared" si="79"/>
        <v>0</v>
      </c>
      <c r="E269" s="173">
        <f t="shared" si="79"/>
        <v>0.25</v>
      </c>
      <c r="F269" s="173">
        <f t="shared" si="79"/>
        <v>0</v>
      </c>
      <c r="G269" s="173">
        <f t="shared" si="79"/>
        <v>0</v>
      </c>
      <c r="H269" s="173">
        <f t="shared" si="79"/>
        <v>0.25</v>
      </c>
      <c r="I269" s="275" t="e">
        <f>#REF!</f>
        <v>#REF!</v>
      </c>
      <c r="J269" s="275" t="e">
        <f>#REF!</f>
        <v>#REF!</v>
      </c>
      <c r="K269" s="275" t="e">
        <f>#REF!</f>
        <v>#REF!</v>
      </c>
      <c r="L269" s="72">
        <f t="shared" ref="L269:S269" si="80">SUM(L268:L268)</f>
        <v>18.952499999999997</v>
      </c>
      <c r="M269" s="72">
        <f t="shared" si="80"/>
        <v>0</v>
      </c>
      <c r="N269" s="69">
        <f t="shared" si="80"/>
        <v>0</v>
      </c>
      <c r="O269" s="176"/>
      <c r="P269" s="176">
        <f t="shared" si="80"/>
        <v>8</v>
      </c>
      <c r="Q269" s="72">
        <f t="shared" si="80"/>
        <v>0</v>
      </c>
      <c r="R269" s="72">
        <f t="shared" si="80"/>
        <v>0</v>
      </c>
      <c r="S269" s="72">
        <f t="shared" si="80"/>
        <v>606.4799999999999</v>
      </c>
      <c r="T269" s="72"/>
      <c r="U269" s="850">
        <f t="shared" ref="U269:Z269" si="81">SUM(U268:U268)</f>
        <v>0</v>
      </c>
      <c r="V269" s="850">
        <f t="shared" si="81"/>
        <v>0</v>
      </c>
      <c r="W269" s="72">
        <f t="shared" si="81"/>
        <v>0</v>
      </c>
      <c r="X269" s="850">
        <f t="shared" si="81"/>
        <v>32</v>
      </c>
      <c r="Y269" s="850">
        <f t="shared" si="81"/>
        <v>8</v>
      </c>
      <c r="Z269" s="988">
        <f t="shared" si="81"/>
        <v>0</v>
      </c>
      <c r="AA269" s="1"/>
      <c r="AB269" s="1"/>
      <c r="AC269" s="1"/>
      <c r="AD269" s="1"/>
      <c r="AE269" s="1"/>
      <c r="IQ269" s="86"/>
      <c r="IR269" s="86"/>
      <c r="IS269" s="86"/>
      <c r="IT269" s="86"/>
      <c r="IU269" s="86"/>
      <c r="IV269" s="86"/>
    </row>
    <row r="270" spans="1:256" s="73" customFormat="1" ht="12.75" thickTop="1" thickBot="1">
      <c r="A270" s="1068"/>
      <c r="B270" s="65"/>
      <c r="C270" s="66"/>
      <c r="D270" s="66"/>
      <c r="E270" s="66"/>
      <c r="F270" s="66"/>
      <c r="G270" s="66"/>
      <c r="H270" s="66"/>
      <c r="I270" s="236"/>
      <c r="J270" s="236"/>
      <c r="K270" s="236"/>
      <c r="L270" s="68"/>
      <c r="M270" s="68"/>
      <c r="N270" s="69"/>
      <c r="O270" s="237"/>
      <c r="P270" s="237"/>
      <c r="Q270" s="68"/>
      <c r="R270" s="68"/>
      <c r="S270" s="72"/>
      <c r="T270" s="85"/>
      <c r="U270" s="784"/>
      <c r="V270" s="784"/>
      <c r="X270" s="855"/>
      <c r="Y270" s="784"/>
      <c r="Z270" s="973"/>
      <c r="AA270" s="86"/>
      <c r="AB270" s="86"/>
      <c r="AC270" s="86"/>
      <c r="AD270" s="86"/>
      <c r="AE270" s="86"/>
      <c r="IQ270" s="86"/>
      <c r="IR270" s="86"/>
      <c r="IS270" s="86"/>
      <c r="IT270" s="86"/>
      <c r="IU270" s="86"/>
      <c r="IV270" s="86"/>
    </row>
    <row r="271" spans="1:256" s="73" customFormat="1" ht="12.75" thickTop="1" thickBot="1">
      <c r="A271" s="1149" t="s">
        <v>264</v>
      </c>
      <c r="B271" s="467"/>
      <c r="C271" s="468"/>
      <c r="D271" s="468"/>
      <c r="E271" s="468"/>
      <c r="F271" s="468"/>
      <c r="G271" s="468"/>
      <c r="H271" s="75">
        <f>SUM(H195,H198,H209,H214,H219,H222,H235,H243,H247,H256,H265,H269)</f>
        <v>355.75</v>
      </c>
      <c r="I271" s="76"/>
      <c r="J271" s="76"/>
      <c r="K271" s="76"/>
      <c r="L271" s="77">
        <f>SUM(L195,L198,L209,L214,L219,L222,L235,L243,L247,L256,L265,L269)</f>
        <v>29274.164499999995</v>
      </c>
      <c r="M271" s="77">
        <f>SUM(M195,M198,M209,M214,M219,M222,M235,M243,M247,M256,M265,M269)</f>
        <v>0</v>
      </c>
      <c r="N271" s="469">
        <f>SUM(N195,N198,N209,N214,N219,N222,N235,N243,N247,N256,N265,N269)</f>
        <v>2072</v>
      </c>
      <c r="O271" s="175"/>
      <c r="P271" s="76">
        <f>SUM(P195,P198,P209,P214,P219,P222,P235,P243,P247,P256,P265,P269)</f>
        <v>833.60000000000014</v>
      </c>
      <c r="Q271" s="77">
        <f>SUM(Q195,Q198,Q209,Q214,Q219,Q222,Q235,Q243,Q247,Q256,Q265,Q269)</f>
        <v>0</v>
      </c>
      <c r="R271" s="77">
        <f>SUM(R195,R198,R209,R214,R219,R222,R235,R243,R247,R256,R265,R269)</f>
        <v>153.60000000000002</v>
      </c>
      <c r="S271" s="77">
        <f>SUM(S195,S198,S209,S214,S219,S222,S235,S243,S247,S256,S265,S269)</f>
        <v>71624.361600000004</v>
      </c>
      <c r="T271" s="77"/>
      <c r="U271" s="864">
        <f t="shared" ref="U271:Z271" si="82">SUM(U195,U198,U209,U214,U219,U222,U235,U243,U247,U256,U265,U269)</f>
        <v>12.8</v>
      </c>
      <c r="V271" s="864">
        <f t="shared" si="82"/>
        <v>790.40000000000009</v>
      </c>
      <c r="W271" s="77">
        <f t="shared" si="82"/>
        <v>102.4</v>
      </c>
      <c r="X271" s="864">
        <f t="shared" si="82"/>
        <v>38.4</v>
      </c>
      <c r="Y271" s="864">
        <f t="shared" si="82"/>
        <v>43.2</v>
      </c>
      <c r="Z271" s="1150">
        <f t="shared" si="82"/>
        <v>51.2</v>
      </c>
      <c r="AA271" s="1"/>
      <c r="AB271" s="1"/>
      <c r="AC271" s="1"/>
      <c r="AD271" s="1"/>
      <c r="AE271" s="1"/>
      <c r="IQ271" s="86"/>
      <c r="IR271" s="86"/>
      <c r="IS271" s="86"/>
      <c r="IT271" s="86"/>
      <c r="IU271" s="86"/>
      <c r="IV271" s="86"/>
    </row>
    <row r="272" spans="1:256" s="73" customFormat="1" ht="12" thickTop="1">
      <c r="A272" s="1151"/>
      <c r="C272" s="242"/>
      <c r="D272" s="242"/>
      <c r="E272" s="242"/>
      <c r="F272" s="242"/>
      <c r="G272" s="242"/>
      <c r="H272" s="242"/>
      <c r="I272" s="243"/>
      <c r="J272" s="243"/>
      <c r="K272" s="243"/>
      <c r="L272" s="244"/>
      <c r="M272" s="327"/>
      <c r="N272" s="327"/>
      <c r="O272" s="328"/>
      <c r="P272" s="245"/>
      <c r="Q272" s="246"/>
      <c r="R272" s="246"/>
      <c r="S272" s="244"/>
      <c r="T272" s="85"/>
      <c r="U272" s="784"/>
      <c r="V272" s="784"/>
      <c r="X272" s="855"/>
      <c r="Y272" s="784"/>
      <c r="Z272" s="973"/>
      <c r="AA272" s="1"/>
      <c r="AB272" s="1"/>
      <c r="AC272" s="1"/>
      <c r="AD272" s="1"/>
      <c r="AE272" s="1"/>
      <c r="IQ272" s="86"/>
      <c r="IR272" s="86"/>
      <c r="IS272" s="86"/>
      <c r="IT272" s="86"/>
      <c r="IU272" s="86"/>
      <c r="IV272" s="86"/>
    </row>
    <row r="273" spans="1:256" s="73" customFormat="1">
      <c r="A273" s="972"/>
      <c r="C273" s="242"/>
      <c r="D273" s="242"/>
      <c r="E273" s="242"/>
      <c r="F273" s="242"/>
      <c r="G273" s="242"/>
      <c r="H273" s="242"/>
      <c r="I273" s="243"/>
      <c r="J273" s="243"/>
      <c r="K273" s="243"/>
      <c r="L273" s="244"/>
      <c r="M273" s="327"/>
      <c r="N273" s="327"/>
      <c r="O273" s="328"/>
      <c r="P273" s="245"/>
      <c r="Q273" s="246"/>
      <c r="R273" s="246"/>
      <c r="S273" s="244"/>
      <c r="T273" s="85"/>
      <c r="U273" s="784"/>
      <c r="V273" s="784"/>
      <c r="X273" s="855"/>
      <c r="Y273" s="784"/>
      <c r="Z273" s="973"/>
      <c r="AA273" s="1"/>
      <c r="AB273" s="1"/>
      <c r="AC273" s="1"/>
      <c r="AD273" s="1"/>
      <c r="AE273" s="1"/>
      <c r="IQ273" s="86"/>
      <c r="IR273" s="86"/>
      <c r="IS273" s="86"/>
      <c r="IT273" s="86"/>
      <c r="IU273" s="86"/>
      <c r="IV273" s="86"/>
    </row>
    <row r="274" spans="1:256" s="73" customFormat="1" ht="12" thickBot="1">
      <c r="A274" s="972"/>
      <c r="C274" s="242"/>
      <c r="D274" s="242"/>
      <c r="E274" s="242"/>
      <c r="F274" s="242"/>
      <c r="G274" s="242"/>
      <c r="H274" s="242"/>
      <c r="I274" s="243"/>
      <c r="J274" s="243"/>
      <c r="K274" s="243"/>
      <c r="L274" s="244"/>
      <c r="M274" s="327"/>
      <c r="N274" s="327"/>
      <c r="O274" s="328"/>
      <c r="P274" s="245"/>
      <c r="Q274" s="246"/>
      <c r="R274" s="246"/>
      <c r="S274" s="244"/>
      <c r="T274" s="85"/>
      <c r="U274" s="784"/>
      <c r="V274" s="784"/>
      <c r="X274" s="855"/>
      <c r="Y274" s="784"/>
      <c r="Z274" s="973"/>
      <c r="AA274" s="1"/>
      <c r="AB274" s="1"/>
      <c r="AC274" s="1"/>
      <c r="AD274" s="1"/>
      <c r="AE274" s="1"/>
      <c r="IQ274" s="86"/>
      <c r="IR274" s="86"/>
      <c r="IS274" s="86"/>
      <c r="IT274" s="86"/>
      <c r="IU274" s="86"/>
      <c r="IV274" s="86"/>
    </row>
    <row r="275" spans="1:256" s="73" customFormat="1" ht="12" thickBot="1">
      <c r="A275" s="959" t="s">
        <v>253</v>
      </c>
      <c r="B275" s="960"/>
      <c r="C275" s="1078"/>
      <c r="D275" s="1078"/>
      <c r="E275" s="1078"/>
      <c r="F275" s="1078"/>
      <c r="G275" s="1078"/>
      <c r="H275" s="1078"/>
      <c r="I275" s="1079"/>
      <c r="J275" s="1079"/>
      <c r="K275" s="1079"/>
      <c r="L275" s="1080"/>
      <c r="M275" s="1081"/>
      <c r="N275" s="1080"/>
      <c r="O275" s="1082"/>
      <c r="P275" s="1083"/>
      <c r="Q275" s="1084"/>
      <c r="R275" s="1084"/>
      <c r="S275" s="1080"/>
      <c r="T275" s="1080"/>
      <c r="U275" s="1085"/>
      <c r="V275" s="1085"/>
      <c r="W275" s="1080"/>
      <c r="X275" s="1085"/>
      <c r="Y275" s="1085"/>
      <c r="Z275" s="1086"/>
      <c r="AA275" s="1"/>
      <c r="AB275" s="1"/>
      <c r="AC275" s="256"/>
      <c r="AD275" s="256"/>
      <c r="AE275" s="256"/>
      <c r="AF275" s="229"/>
      <c r="AG275" s="229"/>
      <c r="IQ275" s="86"/>
      <c r="IR275" s="86"/>
      <c r="IS275" s="86"/>
      <c r="IT275" s="86"/>
      <c r="IU275" s="86"/>
      <c r="IV275" s="86"/>
    </row>
    <row r="276" spans="1:256" s="73" customFormat="1">
      <c r="A276" s="1127" t="s">
        <v>187</v>
      </c>
      <c r="B276" s="330"/>
      <c r="C276" s="331"/>
      <c r="D276" s="331"/>
      <c r="E276" s="331"/>
      <c r="F276" s="331"/>
      <c r="G276" s="331"/>
      <c r="H276" s="331"/>
      <c r="I276" s="332"/>
      <c r="J276" s="332"/>
      <c r="K276" s="332"/>
      <c r="L276" s="333"/>
      <c r="M276" s="333"/>
      <c r="N276" s="334"/>
      <c r="O276" s="335"/>
      <c r="P276" s="336"/>
      <c r="Q276" s="337"/>
      <c r="R276" s="337"/>
      <c r="S276" s="338"/>
      <c r="T276" s="85"/>
      <c r="U276" s="784"/>
      <c r="V276" s="784"/>
      <c r="X276" s="855"/>
      <c r="Y276" s="784"/>
      <c r="Z276" s="973"/>
      <c r="AA276" s="1"/>
      <c r="AB276" s="1"/>
      <c r="AC276" s="1"/>
      <c r="AD276" s="1"/>
      <c r="AE276" s="1"/>
      <c r="IQ276" s="86"/>
      <c r="IR276" s="86"/>
      <c r="IS276" s="86"/>
      <c r="IT276" s="86"/>
      <c r="IU276" s="86"/>
      <c r="IV276" s="86"/>
    </row>
    <row r="277" spans="1:256" s="73" customFormat="1">
      <c r="A277" s="991"/>
      <c r="B277" s="317" t="s">
        <v>324</v>
      </c>
      <c r="C277" s="471">
        <v>0</v>
      </c>
      <c r="D277" s="472">
        <v>5</v>
      </c>
      <c r="E277" s="472">
        <v>24</v>
      </c>
      <c r="F277" s="472">
        <v>10</v>
      </c>
      <c r="G277" s="472">
        <v>40</v>
      </c>
      <c r="H277" s="45">
        <f>SUM(C277:G277)</f>
        <v>79</v>
      </c>
      <c r="I277" s="473"/>
      <c r="J277" s="473"/>
      <c r="K277" s="473"/>
      <c r="L277" s="273">
        <f>((C277*$C$5)+(D277*$D$5)+(E277*$E$5)+(F277*$F$5)+(G277*$G$5))</f>
        <v>6489.5599999999995</v>
      </c>
      <c r="M277" s="474">
        <v>0</v>
      </c>
      <c r="N277" s="475">
        <v>0</v>
      </c>
      <c r="O277" s="805">
        <f>P10</f>
        <v>64</v>
      </c>
      <c r="P277" s="217">
        <f>(C277+D277+E277+F277+G277)*O277</f>
        <v>5056</v>
      </c>
      <c r="Q277" s="218">
        <f>M277*O277</f>
        <v>0</v>
      </c>
      <c r="R277" s="218">
        <f>N277*O277</f>
        <v>0</v>
      </c>
      <c r="S277" s="52">
        <f>(L277+M277+N277)*O277</f>
        <v>415331.83999999997</v>
      </c>
      <c r="T277" s="841" t="s">
        <v>407</v>
      </c>
      <c r="U277" s="842" t="str">
        <f>IF($T277="RP",O277,"")</f>
        <v/>
      </c>
      <c r="V277" s="842" t="str">
        <f>IF($T277="RP",P277,"")</f>
        <v/>
      </c>
      <c r="W277" s="842" t="str">
        <f>IF($T277="RP",SUM(Q277:R277),"")</f>
        <v/>
      </c>
      <c r="X277" s="842">
        <f>IF($T277="RK",O277,"")</f>
        <v>64</v>
      </c>
      <c r="Y277" s="842">
        <f>IF($T277="RK",P277,"")</f>
        <v>5056</v>
      </c>
      <c r="Z277" s="984">
        <f>IF($T277="Rk",SUM(Q277:R277),"")</f>
        <v>0</v>
      </c>
      <c r="AA277" s="1"/>
      <c r="AB277" s="1"/>
      <c r="AC277" s="1"/>
      <c r="AD277" s="1"/>
      <c r="AE277" s="1"/>
      <c r="IQ277" s="86"/>
      <c r="IR277" s="86"/>
      <c r="IS277" s="86"/>
      <c r="IT277" s="86"/>
      <c r="IU277" s="86"/>
      <c r="IV277" s="86"/>
    </row>
    <row r="278" spans="1:256" s="73" customFormat="1">
      <c r="A278" s="990"/>
      <c r="B278" s="144" t="s">
        <v>134</v>
      </c>
      <c r="C278" s="476"/>
      <c r="D278" s="353"/>
      <c r="E278" s="353"/>
      <c r="F278" s="353"/>
      <c r="G278" s="353"/>
      <c r="H278" s="353"/>
      <c r="I278" s="354"/>
      <c r="J278" s="354"/>
      <c r="K278" s="354"/>
      <c r="L278" s="118"/>
      <c r="M278" s="118"/>
      <c r="N278" s="477"/>
      <c r="O278" s="743"/>
      <c r="P278" s="116"/>
      <c r="Q278" s="117"/>
      <c r="R278" s="117"/>
      <c r="S278" s="118"/>
      <c r="T278" s="85"/>
      <c r="U278" s="784"/>
      <c r="V278" s="784"/>
      <c r="X278" s="855"/>
      <c r="Y278" s="784"/>
      <c r="Z278" s="973"/>
      <c r="AA278" s="1"/>
      <c r="AB278" s="1"/>
      <c r="AC278" s="1"/>
      <c r="AD278" s="1"/>
      <c r="AE278" s="1"/>
      <c r="IQ278" s="86"/>
      <c r="IR278" s="86"/>
      <c r="IS278" s="86"/>
      <c r="IT278" s="86"/>
      <c r="IU278" s="86"/>
      <c r="IV278" s="86"/>
    </row>
    <row r="279" spans="1:256" s="73" customFormat="1">
      <c r="A279" s="1152"/>
      <c r="B279" s="144" t="s">
        <v>135</v>
      </c>
      <c r="C279" s="479"/>
      <c r="D279" s="480"/>
      <c r="E279" s="480"/>
      <c r="F279" s="480"/>
      <c r="G279" s="480"/>
      <c r="H279" s="480"/>
      <c r="I279" s="481"/>
      <c r="J279" s="481"/>
      <c r="K279" s="481"/>
      <c r="L279" s="482"/>
      <c r="M279" s="482"/>
      <c r="N279" s="483"/>
      <c r="O279" s="790"/>
      <c r="P279" s="485"/>
      <c r="Q279" s="482"/>
      <c r="R279" s="482"/>
      <c r="S279" s="482"/>
      <c r="T279" s="85"/>
      <c r="U279" s="784"/>
      <c r="V279" s="784"/>
      <c r="X279" s="855"/>
      <c r="Y279" s="784"/>
      <c r="Z279" s="973"/>
      <c r="AA279" s="1"/>
      <c r="AB279" s="1"/>
      <c r="AC279" s="1"/>
      <c r="AD279" s="1"/>
      <c r="AE279" s="1"/>
      <c r="IQ279" s="86"/>
      <c r="IR279" s="86"/>
      <c r="IS279" s="86"/>
      <c r="IT279" s="86"/>
      <c r="IU279" s="86"/>
      <c r="IV279" s="86"/>
    </row>
    <row r="280" spans="1:256" s="73" customFormat="1">
      <c r="A280" s="1153"/>
      <c r="B280" s="154" t="s">
        <v>136</v>
      </c>
      <c r="C280" s="486">
        <v>0</v>
      </c>
      <c r="D280" s="166">
        <v>0</v>
      </c>
      <c r="E280" s="166">
        <v>0</v>
      </c>
      <c r="F280" s="166">
        <v>0.5</v>
      </c>
      <c r="G280" s="166">
        <v>0</v>
      </c>
      <c r="H280" s="45">
        <f>SUM(C280:G280)</f>
        <v>0.5</v>
      </c>
      <c r="I280" s="448">
        <f>D280*$O280</f>
        <v>0</v>
      </c>
      <c r="J280" s="448">
        <f>E280*$O280</f>
        <v>0</v>
      </c>
      <c r="K280" s="448">
        <f>F280*$O280</f>
        <v>32</v>
      </c>
      <c r="L280" s="487">
        <f>((C280*$C$5)+(D280*$D$5)+(E280*$E$5)+(F280*$F$5)+(G280*$G$5))</f>
        <v>18.423999999999999</v>
      </c>
      <c r="M280" s="449">
        <v>0</v>
      </c>
      <c r="N280" s="450">
        <v>0</v>
      </c>
      <c r="O280" s="791">
        <f>P10</f>
        <v>64</v>
      </c>
      <c r="P280" s="488">
        <f>(C280+D280+E280+F280+G280)*O280</f>
        <v>32</v>
      </c>
      <c r="Q280" s="489">
        <f>M280*O280</f>
        <v>0</v>
      </c>
      <c r="R280" s="489">
        <f>N280*O280</f>
        <v>0</v>
      </c>
      <c r="S280" s="487">
        <f>(L280+M280+N280)*O280</f>
        <v>1179.136</v>
      </c>
      <c r="T280" s="841" t="s">
        <v>407</v>
      </c>
      <c r="U280" s="842" t="str">
        <f>IF($T280="RP",O280,"")</f>
        <v/>
      </c>
      <c r="V280" s="842" t="str">
        <f>IF($T280="RP",P280,"")</f>
        <v/>
      </c>
      <c r="W280" s="842" t="str">
        <f>IF($T280="RP",SUM(Q280:R280),"")</f>
        <v/>
      </c>
      <c r="X280" s="842">
        <f>IF($T280="RK",O280,"")</f>
        <v>64</v>
      </c>
      <c r="Y280" s="842">
        <f>IF($T280="RK",P280,"")</f>
        <v>32</v>
      </c>
      <c r="Z280" s="984">
        <f>IF($T280="Rk",SUM(Q280:R280),"")</f>
        <v>0</v>
      </c>
      <c r="AA280" s="1"/>
      <c r="AB280" s="1"/>
      <c r="AC280" s="1"/>
      <c r="AD280" s="1"/>
      <c r="AE280" s="1"/>
      <c r="IQ280" s="86"/>
      <c r="IR280" s="86"/>
      <c r="IS280" s="86"/>
      <c r="IT280" s="86"/>
      <c r="IU280" s="86"/>
      <c r="IV280" s="86"/>
    </row>
    <row r="281" spans="1:256" s="73" customFormat="1">
      <c r="A281" s="990"/>
      <c r="B281" s="144" t="s">
        <v>137</v>
      </c>
      <c r="C281" s="111"/>
      <c r="D281" s="111"/>
      <c r="E281" s="111"/>
      <c r="F281" s="111"/>
      <c r="G281" s="111"/>
      <c r="H281" s="111"/>
      <c r="I281" s="112"/>
      <c r="J281" s="112"/>
      <c r="K281" s="112"/>
      <c r="L281" s="113"/>
      <c r="M281" s="304"/>
      <c r="N281" s="305"/>
      <c r="O281" s="792"/>
      <c r="P281" s="182"/>
      <c r="Q281" s="51"/>
      <c r="R281" s="51"/>
      <c r="S281" s="183"/>
      <c r="T281" s="85"/>
      <c r="U281" s="784"/>
      <c r="V281" s="784"/>
      <c r="X281" s="855"/>
      <c r="Y281" s="784"/>
      <c r="Z281" s="973"/>
      <c r="AA281" s="1"/>
      <c r="AB281" s="1"/>
      <c r="AC281" s="1"/>
      <c r="AD281" s="1"/>
      <c r="AE281" s="1"/>
      <c r="IQ281" s="86"/>
      <c r="IR281" s="86"/>
      <c r="IS281" s="86"/>
      <c r="IT281" s="86"/>
      <c r="IU281" s="86"/>
      <c r="IV281" s="86"/>
    </row>
    <row r="282" spans="1:256" s="73" customFormat="1" ht="12" thickBot="1">
      <c r="A282" s="980"/>
      <c r="B282" s="154" t="s">
        <v>89</v>
      </c>
      <c r="C282" s="212">
        <v>0</v>
      </c>
      <c r="D282" s="212">
        <v>0</v>
      </c>
      <c r="E282" s="212">
        <v>0</v>
      </c>
      <c r="F282" s="212">
        <v>0.5</v>
      </c>
      <c r="G282" s="212">
        <v>0</v>
      </c>
      <c r="H282" s="45">
        <f>SUM(C282:G282)</f>
        <v>0.5</v>
      </c>
      <c r="I282" s="213"/>
      <c r="J282" s="213"/>
      <c r="K282" s="213"/>
      <c r="L282" s="214">
        <f>((C282*$C$5)+(D282*$D$5)+(E282*$E$5)+(F282*$F$5)+(G282*$G$5))</f>
        <v>18.423999999999999</v>
      </c>
      <c r="M282" s="491">
        <v>0</v>
      </c>
      <c r="N282" s="492">
        <v>8</v>
      </c>
      <c r="O282" s="793">
        <f>0.1*P10</f>
        <v>6.4</v>
      </c>
      <c r="P282" s="217">
        <f>(C282+D282+E282+F282+G282)*O282</f>
        <v>3.2</v>
      </c>
      <c r="Q282" s="218">
        <f>M282*O282</f>
        <v>0</v>
      </c>
      <c r="R282" s="218">
        <f>N282*O282</f>
        <v>51.2</v>
      </c>
      <c r="S282" s="52">
        <f>(L282+M282+N282)*O282</f>
        <v>169.11360000000002</v>
      </c>
      <c r="T282" s="841" t="s">
        <v>408</v>
      </c>
      <c r="U282" s="842">
        <f>IF($T282="RP",O282,"")</f>
        <v>6.4</v>
      </c>
      <c r="V282" s="842">
        <f>IF($T282="RP",P282,"")</f>
        <v>3.2</v>
      </c>
      <c r="W282" s="842">
        <f>IF($T282="RP",SUM(Q282:R282),"")</f>
        <v>51.2</v>
      </c>
      <c r="X282" s="842" t="str">
        <f>IF($T282="RK",O282,"")</f>
        <v/>
      </c>
      <c r="Y282" s="842" t="str">
        <f>IF($T282="RK",P282,"")</f>
        <v/>
      </c>
      <c r="Z282" s="984" t="str">
        <f>IF($T282="Rk",SUM(Q282:R282),"")</f>
        <v/>
      </c>
      <c r="AA282" s="1"/>
      <c r="AB282" s="1"/>
      <c r="AC282" s="1"/>
      <c r="AD282" s="1"/>
      <c r="AE282" s="1"/>
      <c r="IQ282" s="86"/>
      <c r="IR282" s="86"/>
      <c r="IS282" s="86"/>
      <c r="IT282" s="86"/>
      <c r="IU282" s="86"/>
      <c r="IV282" s="86"/>
    </row>
    <row r="283" spans="1:256" s="73" customFormat="1" ht="12.75" thickTop="1" thickBot="1">
      <c r="A283" s="1068" t="s">
        <v>29</v>
      </c>
      <c r="B283" s="54"/>
      <c r="C283" s="55">
        <f t="shared" ref="C283:H283" si="83">SUM(C277:C282)</f>
        <v>0</v>
      </c>
      <c r="D283" s="55">
        <f t="shared" si="83"/>
        <v>5</v>
      </c>
      <c r="E283" s="55">
        <f t="shared" si="83"/>
        <v>24</v>
      </c>
      <c r="F283" s="55">
        <f t="shared" si="83"/>
        <v>11</v>
      </c>
      <c r="G283" s="55">
        <f t="shared" si="83"/>
        <v>40</v>
      </c>
      <c r="H283" s="55">
        <f t="shared" si="83"/>
        <v>80</v>
      </c>
      <c r="I283" s="56">
        <f>SUM(I278:I282)</f>
        <v>0</v>
      </c>
      <c r="J283" s="56">
        <f>SUM(J278:J282)</f>
        <v>0</v>
      </c>
      <c r="K283" s="56">
        <f>SUM(K278:K282)</f>
        <v>32</v>
      </c>
      <c r="L283" s="57">
        <f>SUM(L277:L282)</f>
        <v>6526.4079999999994</v>
      </c>
      <c r="M283" s="57">
        <f>SUM(M277:M282)</f>
        <v>0</v>
      </c>
      <c r="N283" s="58">
        <f>SUM(N278:N282)</f>
        <v>8</v>
      </c>
      <c r="O283" s="794"/>
      <c r="P283" s="56">
        <f>SUM(P277:P282)</f>
        <v>5091.2</v>
      </c>
      <c r="Q283" s="57">
        <f>SUM(Q277:Q282)</f>
        <v>0</v>
      </c>
      <c r="R283" s="57">
        <f>SUM(R277:R282)</f>
        <v>51.2</v>
      </c>
      <c r="S283" s="57">
        <f>SUM(S277:S282)</f>
        <v>416680.08959999995</v>
      </c>
      <c r="T283" s="57"/>
      <c r="U283" s="853">
        <f t="shared" ref="U283:Z283" si="84">SUM(U277:U282)</f>
        <v>6.4</v>
      </c>
      <c r="V283" s="853">
        <f t="shared" si="84"/>
        <v>3.2</v>
      </c>
      <c r="W283" s="57">
        <f t="shared" si="84"/>
        <v>51.2</v>
      </c>
      <c r="X283" s="853">
        <f t="shared" si="84"/>
        <v>128</v>
      </c>
      <c r="Y283" s="853">
        <f t="shared" si="84"/>
        <v>5088</v>
      </c>
      <c r="Z283" s="976">
        <f t="shared" si="84"/>
        <v>0</v>
      </c>
      <c r="AA283" s="1"/>
      <c r="AB283" s="1"/>
      <c r="AC283" s="1"/>
      <c r="AD283" s="1"/>
      <c r="AE283" s="1"/>
      <c r="IQ283" s="86"/>
      <c r="IR283" s="86"/>
      <c r="IS283" s="86"/>
      <c r="IT283" s="86"/>
      <c r="IU283" s="86"/>
      <c r="IV283" s="86"/>
    </row>
    <row r="284" spans="1:256" s="73" customFormat="1" ht="12" thickTop="1">
      <c r="A284" s="1135" t="s">
        <v>138</v>
      </c>
      <c r="B284" s="402"/>
      <c r="C284" s="403"/>
      <c r="D284" s="403"/>
      <c r="E284" s="403"/>
      <c r="F284" s="403"/>
      <c r="G284" s="403"/>
      <c r="H284" s="403"/>
      <c r="I284" s="404"/>
      <c r="J284" s="404"/>
      <c r="K284" s="404"/>
      <c r="L284" s="405"/>
      <c r="M284" s="405"/>
      <c r="N284" s="406"/>
      <c r="O284" s="795"/>
      <c r="P284" s="408"/>
      <c r="Q284" s="409"/>
      <c r="R284" s="409"/>
      <c r="S284" s="410"/>
      <c r="T284" s="85"/>
      <c r="U284" s="784"/>
      <c r="V284" s="784"/>
      <c r="X284" s="855"/>
      <c r="Y284" s="784"/>
      <c r="Z284" s="973"/>
      <c r="AA284" s="1"/>
      <c r="AB284" s="1"/>
      <c r="AC284" s="1"/>
      <c r="AD284" s="1"/>
      <c r="AE284" s="1"/>
      <c r="IQ284" s="86"/>
      <c r="IR284" s="86"/>
      <c r="IS284" s="86"/>
      <c r="IT284" s="86"/>
      <c r="IU284" s="86"/>
      <c r="IV284" s="86"/>
    </row>
    <row r="285" spans="1:256" s="73" customFormat="1">
      <c r="A285" s="990"/>
      <c r="B285" s="144" t="s">
        <v>139</v>
      </c>
      <c r="C285" s="111"/>
      <c r="D285" s="111"/>
      <c r="E285" s="111"/>
      <c r="F285" s="111"/>
      <c r="G285" s="111"/>
      <c r="H285" s="111"/>
      <c r="I285" s="112"/>
      <c r="J285" s="112"/>
      <c r="K285" s="112"/>
      <c r="L285" s="113"/>
      <c r="M285" s="113"/>
      <c r="N285" s="493"/>
      <c r="O285" s="792"/>
      <c r="P285" s="182"/>
      <c r="Q285" s="51"/>
      <c r="R285" s="51"/>
      <c r="S285" s="183"/>
      <c r="T285" s="85"/>
      <c r="U285" s="784"/>
      <c r="V285" s="784"/>
      <c r="X285" s="855"/>
      <c r="Y285" s="784"/>
      <c r="Z285" s="973"/>
      <c r="AA285" s="1"/>
      <c r="AB285" s="1"/>
      <c r="AC285" s="1"/>
      <c r="AD285" s="1"/>
      <c r="AE285" s="1"/>
      <c r="IQ285" s="86"/>
      <c r="IR285" s="86"/>
      <c r="IS285" s="86"/>
      <c r="IT285" s="86"/>
      <c r="IU285" s="86"/>
      <c r="IV285" s="86"/>
    </row>
    <row r="286" spans="1:256" s="73" customFormat="1" ht="12" thickBot="1">
      <c r="A286" s="990"/>
      <c r="B286" s="144" t="s">
        <v>140</v>
      </c>
      <c r="C286" s="111">
        <v>0</v>
      </c>
      <c r="D286" s="111">
        <v>1</v>
      </c>
      <c r="E286" s="111">
        <v>4</v>
      </c>
      <c r="F286" s="111">
        <v>1</v>
      </c>
      <c r="G286" s="111">
        <v>0</v>
      </c>
      <c r="H286" s="45">
        <f>SUM(C286:G286)</f>
        <v>6</v>
      </c>
      <c r="I286" s="46">
        <f>D286*$O286</f>
        <v>64</v>
      </c>
      <c r="J286" s="46">
        <f>E286*$O286</f>
        <v>256</v>
      </c>
      <c r="K286" s="46">
        <f>F286*$O286</f>
        <v>64</v>
      </c>
      <c r="L286" s="47">
        <f>((C286*$C$5)+(D286*$D$5)+(E286*$E$5)+(F286*$F$5)+(G286*$G$5))</f>
        <v>435.67999999999995</v>
      </c>
      <c r="M286" s="350">
        <v>0</v>
      </c>
      <c r="N286" s="351">
        <v>1</v>
      </c>
      <c r="O286" s="792">
        <f>P10</f>
        <v>64</v>
      </c>
      <c r="P286" s="50">
        <f>(C286+D286+E286+F286+G286)*O286</f>
        <v>384</v>
      </c>
      <c r="Q286" s="51">
        <f>M286*O286</f>
        <v>0</v>
      </c>
      <c r="R286" s="51">
        <f>N286*O286</f>
        <v>64</v>
      </c>
      <c r="S286" s="52">
        <f>(L286+M286+N286)*O286</f>
        <v>27947.519999999997</v>
      </c>
      <c r="T286" s="841" t="s">
        <v>408</v>
      </c>
      <c r="U286" s="842">
        <f>IF($T286="RP",O286,"")</f>
        <v>64</v>
      </c>
      <c r="V286" s="842">
        <f>IF($T286="RP",P286,"")</f>
        <v>384</v>
      </c>
      <c r="W286" s="842">
        <f>IF($T286="RP",SUM(Q286:R286),"")</f>
        <v>64</v>
      </c>
      <c r="X286" s="842" t="str">
        <f>IF($T286="RK",O286,"")</f>
        <v/>
      </c>
      <c r="Y286" s="842" t="str">
        <f>IF($T286="RK",P286,"")</f>
        <v/>
      </c>
      <c r="Z286" s="984" t="str">
        <f>IF($T286="Rk",SUM(Q286:R286),"")</f>
        <v/>
      </c>
      <c r="AA286" s="1"/>
      <c r="AB286" s="1"/>
      <c r="AC286" s="1"/>
      <c r="AD286" s="1"/>
      <c r="AE286" s="1"/>
      <c r="IQ286" s="86"/>
      <c r="IR286" s="86"/>
      <c r="IS286" s="86"/>
      <c r="IT286" s="86"/>
      <c r="IU286" s="86"/>
      <c r="IV286" s="86"/>
    </row>
    <row r="287" spans="1:256" s="73" customFormat="1" ht="12.75" thickTop="1" thickBot="1">
      <c r="A287" s="1068" t="s">
        <v>29</v>
      </c>
      <c r="B287" s="54"/>
      <c r="C287" s="55">
        <f t="shared" ref="C287:S287" si="85">C286</f>
        <v>0</v>
      </c>
      <c r="D287" s="55">
        <f t="shared" si="85"/>
        <v>1</v>
      </c>
      <c r="E287" s="55">
        <f t="shared" si="85"/>
        <v>4</v>
      </c>
      <c r="F287" s="55">
        <f t="shared" si="85"/>
        <v>1</v>
      </c>
      <c r="G287" s="55">
        <f t="shared" si="85"/>
        <v>0</v>
      </c>
      <c r="H287" s="55">
        <f t="shared" si="85"/>
        <v>6</v>
      </c>
      <c r="I287" s="230">
        <f t="shared" si="85"/>
        <v>64</v>
      </c>
      <c r="J287" s="230">
        <f t="shared" si="85"/>
        <v>256</v>
      </c>
      <c r="K287" s="230">
        <f t="shared" si="85"/>
        <v>64</v>
      </c>
      <c r="L287" s="57">
        <f t="shared" si="85"/>
        <v>435.67999999999995</v>
      </c>
      <c r="M287" s="57">
        <f t="shared" si="85"/>
        <v>0</v>
      </c>
      <c r="N287" s="58">
        <f t="shared" si="85"/>
        <v>1</v>
      </c>
      <c r="O287" s="794"/>
      <c r="P287" s="60">
        <f t="shared" si="85"/>
        <v>384</v>
      </c>
      <c r="Q287" s="61">
        <f t="shared" si="85"/>
        <v>0</v>
      </c>
      <c r="R287" s="61">
        <f t="shared" si="85"/>
        <v>64</v>
      </c>
      <c r="S287" s="62">
        <f t="shared" si="85"/>
        <v>27947.519999999997</v>
      </c>
      <c r="T287" s="62"/>
      <c r="U287" s="849">
        <f t="shared" ref="U287:Z287" si="86">U286</f>
        <v>64</v>
      </c>
      <c r="V287" s="849">
        <f t="shared" si="86"/>
        <v>384</v>
      </c>
      <c r="W287" s="62">
        <f t="shared" si="86"/>
        <v>64</v>
      </c>
      <c r="X287" s="849" t="str">
        <f t="shared" si="86"/>
        <v/>
      </c>
      <c r="Y287" s="849" t="str">
        <f t="shared" si="86"/>
        <v/>
      </c>
      <c r="Z287" s="976" t="str">
        <f t="shared" si="86"/>
        <v/>
      </c>
      <c r="AA287" s="1"/>
      <c r="AB287" s="1"/>
      <c r="AC287" s="1"/>
      <c r="AD287" s="1"/>
      <c r="AE287" s="1"/>
      <c r="IQ287" s="86"/>
      <c r="IR287" s="86"/>
      <c r="IS287" s="86"/>
      <c r="IT287" s="86"/>
      <c r="IU287" s="86"/>
      <c r="IV287" s="86"/>
    </row>
    <row r="288" spans="1:256" s="73" customFormat="1" ht="12" thickTop="1">
      <c r="A288" s="980" t="s">
        <v>192</v>
      </c>
      <c r="B288" s="402"/>
      <c r="C288" s="403"/>
      <c r="D288" s="403"/>
      <c r="E288" s="403"/>
      <c r="F288" s="403"/>
      <c r="G288" s="403"/>
      <c r="H288" s="403"/>
      <c r="I288" s="404"/>
      <c r="J288" s="404"/>
      <c r="K288" s="404"/>
      <c r="L288" s="405"/>
      <c r="M288" s="405"/>
      <c r="N288" s="406"/>
      <c r="O288" s="795"/>
      <c r="P288" s="408"/>
      <c r="Q288" s="409"/>
      <c r="R288" s="409"/>
      <c r="S288" s="410"/>
      <c r="T288" s="85"/>
      <c r="U288" s="784"/>
      <c r="V288" s="784"/>
      <c r="X288" s="855"/>
      <c r="Y288" s="784"/>
      <c r="Z288" s="973"/>
      <c r="AA288" s="1"/>
      <c r="AB288" s="1"/>
      <c r="AC288" s="1"/>
      <c r="AD288" s="1"/>
      <c r="AE288" s="1"/>
      <c r="IQ288" s="86"/>
      <c r="IR288" s="86"/>
      <c r="IS288" s="86"/>
      <c r="IT288" s="86"/>
      <c r="IU288" s="86"/>
      <c r="IV288" s="86"/>
    </row>
    <row r="289" spans="1:256" s="73" customFormat="1">
      <c r="A289" s="990"/>
      <c r="B289" s="144" t="s">
        <v>145</v>
      </c>
      <c r="C289" s="111"/>
      <c r="D289" s="111"/>
      <c r="E289" s="111"/>
      <c r="F289" s="111"/>
      <c r="G289" s="111"/>
      <c r="H289" s="111"/>
      <c r="I289" s="112"/>
      <c r="J289" s="112"/>
      <c r="K289" s="112"/>
      <c r="L289" s="113"/>
      <c r="M289" s="113"/>
      <c r="N289" s="493"/>
      <c r="O289" s="792"/>
      <c r="P289" s="182"/>
      <c r="Q289" s="51"/>
      <c r="R289" s="51"/>
      <c r="S289" s="183"/>
      <c r="T289" s="85"/>
      <c r="U289" s="784"/>
      <c r="V289" s="784"/>
      <c r="X289" s="855"/>
      <c r="Y289" s="784"/>
      <c r="Z289" s="973"/>
      <c r="AA289" s="1"/>
      <c r="AB289" s="1"/>
      <c r="AC289" s="1"/>
      <c r="AD289" s="1"/>
      <c r="AE289" s="1"/>
      <c r="IQ289" s="86"/>
      <c r="IR289" s="86"/>
      <c r="IS289" s="86"/>
      <c r="IT289" s="86"/>
      <c r="IU289" s="86"/>
      <c r="IV289" s="86"/>
    </row>
    <row r="290" spans="1:256" s="73" customFormat="1" ht="12" thickBot="1">
      <c r="A290" s="990"/>
      <c r="B290" s="144" t="s">
        <v>146</v>
      </c>
      <c r="C290" s="111">
        <v>0</v>
      </c>
      <c r="D290" s="111">
        <v>1</v>
      </c>
      <c r="E290" s="111">
        <v>4</v>
      </c>
      <c r="F290" s="111">
        <v>1</v>
      </c>
      <c r="G290" s="111">
        <v>0</v>
      </c>
      <c r="H290" s="45">
        <f>SUM(C290:G290)</f>
        <v>6</v>
      </c>
      <c r="I290" s="46">
        <f>D290*$O290</f>
        <v>64</v>
      </c>
      <c r="J290" s="46">
        <f>E290*$O290</f>
        <v>256</v>
      </c>
      <c r="K290" s="46">
        <f>F290*$O290</f>
        <v>64</v>
      </c>
      <c r="L290" s="47">
        <f>((C290*$C$5)+(D290*$D$5)+(E290*$E$5)+(F290*$F$5)+(G290*$G$5))</f>
        <v>435.67999999999995</v>
      </c>
      <c r="M290" s="350">
        <v>0</v>
      </c>
      <c r="N290" s="351">
        <v>1</v>
      </c>
      <c r="O290" s="792">
        <f>P10</f>
        <v>64</v>
      </c>
      <c r="P290" s="50">
        <f>(C290+D290+E290+F290+G290)*O290</f>
        <v>384</v>
      </c>
      <c r="Q290" s="51">
        <f>M290*O290</f>
        <v>0</v>
      </c>
      <c r="R290" s="51">
        <f>N290*O290</f>
        <v>64</v>
      </c>
      <c r="S290" s="52">
        <f>(L290+M290+N290)*O290</f>
        <v>27947.519999999997</v>
      </c>
      <c r="T290" s="841" t="s">
        <v>408</v>
      </c>
      <c r="U290" s="842">
        <f>IF($T290="RP",O290,"")</f>
        <v>64</v>
      </c>
      <c r="V290" s="842">
        <f>IF($T290="RP",P290,"")</f>
        <v>384</v>
      </c>
      <c r="W290" s="842">
        <f>IF($T290="RP",SUM(Q290:R290),"")</f>
        <v>64</v>
      </c>
      <c r="X290" s="842" t="str">
        <f>IF($T290="RK",O290,"")</f>
        <v/>
      </c>
      <c r="Y290" s="842" t="str">
        <f>IF($T290="RK",P290,"")</f>
        <v/>
      </c>
      <c r="Z290" s="984" t="str">
        <f>IF($T290="Rk",SUM(Q290:R290),"")</f>
        <v/>
      </c>
      <c r="AA290" s="1"/>
      <c r="AB290" s="1"/>
      <c r="AC290" s="1"/>
      <c r="AD290" s="1"/>
      <c r="AE290" s="1"/>
      <c r="IQ290" s="86"/>
      <c r="IR290" s="86"/>
      <c r="IS290" s="86"/>
      <c r="IT290" s="86"/>
      <c r="IU290" s="86"/>
      <c r="IV290" s="86"/>
    </row>
    <row r="291" spans="1:256" s="73" customFormat="1" ht="12.75" thickTop="1" thickBot="1">
      <c r="A291" s="1068" t="s">
        <v>29</v>
      </c>
      <c r="B291" s="54"/>
      <c r="C291" s="55">
        <f t="shared" ref="C291:S291" si="87">C290</f>
        <v>0</v>
      </c>
      <c r="D291" s="55">
        <f t="shared" si="87"/>
        <v>1</v>
      </c>
      <c r="E291" s="55">
        <f t="shared" si="87"/>
        <v>4</v>
      </c>
      <c r="F291" s="55">
        <f t="shared" si="87"/>
        <v>1</v>
      </c>
      <c r="G291" s="55">
        <f t="shared" si="87"/>
        <v>0</v>
      </c>
      <c r="H291" s="55">
        <f t="shared" si="87"/>
        <v>6</v>
      </c>
      <c r="I291" s="230">
        <f t="shared" si="87"/>
        <v>64</v>
      </c>
      <c r="J291" s="230">
        <f t="shared" si="87"/>
        <v>256</v>
      </c>
      <c r="K291" s="230">
        <f t="shared" si="87"/>
        <v>64</v>
      </c>
      <c r="L291" s="57">
        <f t="shared" si="87"/>
        <v>435.67999999999995</v>
      </c>
      <c r="M291" s="57">
        <f t="shared" si="87"/>
        <v>0</v>
      </c>
      <c r="N291" s="58">
        <f t="shared" si="87"/>
        <v>1</v>
      </c>
      <c r="O291" s="794"/>
      <c r="P291" s="60">
        <f t="shared" si="87"/>
        <v>384</v>
      </c>
      <c r="Q291" s="61">
        <f t="shared" si="87"/>
        <v>0</v>
      </c>
      <c r="R291" s="61">
        <f t="shared" si="87"/>
        <v>64</v>
      </c>
      <c r="S291" s="62">
        <f t="shared" si="87"/>
        <v>27947.519999999997</v>
      </c>
      <c r="T291" s="62"/>
      <c r="U291" s="849">
        <f t="shared" ref="U291:Z291" si="88">U290</f>
        <v>64</v>
      </c>
      <c r="V291" s="849">
        <f t="shared" si="88"/>
        <v>384</v>
      </c>
      <c r="W291" s="62">
        <f t="shared" si="88"/>
        <v>64</v>
      </c>
      <c r="X291" s="849" t="str">
        <f t="shared" si="88"/>
        <v/>
      </c>
      <c r="Y291" s="849" t="str">
        <f t="shared" si="88"/>
        <v/>
      </c>
      <c r="Z291" s="976" t="str">
        <f t="shared" si="88"/>
        <v/>
      </c>
      <c r="AA291" s="1"/>
      <c r="AB291" s="1"/>
      <c r="AC291" s="1"/>
      <c r="AD291" s="1"/>
      <c r="AE291" s="1"/>
      <c r="IQ291" s="86"/>
      <c r="IR291" s="86"/>
      <c r="IS291" s="86"/>
      <c r="IT291" s="86"/>
      <c r="IU291" s="86"/>
      <c r="IV291" s="86"/>
    </row>
    <row r="292" spans="1:256" s="73" customFormat="1" ht="12" thickTop="1">
      <c r="A292" s="972" t="s">
        <v>144</v>
      </c>
      <c r="B292" s="177"/>
      <c r="C292" s="135"/>
      <c r="D292" s="135"/>
      <c r="E292" s="135"/>
      <c r="F292" s="135"/>
      <c r="G292" s="135"/>
      <c r="H292" s="135"/>
      <c r="I292" s="136"/>
      <c r="J292" s="136"/>
      <c r="K292" s="136"/>
      <c r="L292" s="137"/>
      <c r="M292" s="137"/>
      <c r="N292" s="285"/>
      <c r="O292" s="741"/>
      <c r="P292" s="140"/>
      <c r="Q292" s="141"/>
      <c r="R292" s="141"/>
      <c r="S292" s="142"/>
      <c r="T292" s="838"/>
      <c r="U292" s="839"/>
      <c r="V292" s="839"/>
      <c r="W292" s="885"/>
      <c r="X292" s="886"/>
      <c r="Y292" s="839"/>
      <c r="Z292" s="971"/>
      <c r="AA292" s="1"/>
      <c r="AB292" s="1"/>
      <c r="AC292" s="1"/>
      <c r="AD292" s="1"/>
      <c r="AE292" s="1"/>
      <c r="IQ292" s="86"/>
      <c r="IR292" s="86"/>
      <c r="IS292" s="86"/>
      <c r="IT292" s="86"/>
      <c r="IU292" s="86"/>
      <c r="IV292" s="86"/>
    </row>
    <row r="293" spans="1:256" s="73" customFormat="1">
      <c r="A293" s="989"/>
      <c r="B293" s="130" t="s">
        <v>141</v>
      </c>
      <c r="C293" s="145"/>
      <c r="D293" s="146"/>
      <c r="E293" s="146"/>
      <c r="F293" s="146"/>
      <c r="G293" s="146"/>
      <c r="H293" s="146"/>
      <c r="I293" s="147"/>
      <c r="J293" s="147"/>
      <c r="K293" s="147"/>
      <c r="L293" s="148"/>
      <c r="M293" s="148"/>
      <c r="N293" s="494"/>
      <c r="O293" s="796"/>
      <c r="P293" s="151"/>
      <c r="Q293" s="152"/>
      <c r="R293" s="152"/>
      <c r="S293" s="148"/>
      <c r="T293" s="85"/>
      <c r="U293" s="784"/>
      <c r="V293" s="784"/>
      <c r="X293" s="855"/>
      <c r="Y293" s="784"/>
      <c r="Z293" s="973"/>
      <c r="AA293" s="1"/>
      <c r="AB293" s="1"/>
      <c r="AC293" s="1"/>
      <c r="AD293" s="1"/>
      <c r="AE293" s="1"/>
      <c r="IQ293" s="86"/>
      <c r="IR293" s="86"/>
      <c r="IS293" s="86"/>
      <c r="IT293" s="86"/>
      <c r="IU293" s="86"/>
      <c r="IV293" s="86"/>
    </row>
    <row r="294" spans="1:256" s="73" customFormat="1">
      <c r="A294" s="980"/>
      <c r="B294" s="165" t="s">
        <v>142</v>
      </c>
      <c r="C294" s="166">
        <v>0</v>
      </c>
      <c r="D294" s="167">
        <v>10</v>
      </c>
      <c r="E294" s="167">
        <v>24</v>
      </c>
      <c r="F294" s="167">
        <v>8</v>
      </c>
      <c r="G294" s="167">
        <v>20</v>
      </c>
      <c r="H294" s="45">
        <f>SUM(C294:G294)</f>
        <v>62</v>
      </c>
      <c r="I294" s="168"/>
      <c r="J294" s="168"/>
      <c r="K294" s="168"/>
      <c r="L294" s="47">
        <f>((C294*$C$5)+(D294*$D$5)+(E294*$E$5)+(F294*$F$5)+(G294*$G$5))</f>
        <v>4981.9839999999995</v>
      </c>
      <c r="M294" s="142">
        <v>0</v>
      </c>
      <c r="N294" s="285">
        <v>8</v>
      </c>
      <c r="O294" s="791">
        <f>P10</f>
        <v>64</v>
      </c>
      <c r="P294" s="50">
        <f>(C294+D294+E294+F294+G294)*O294</f>
        <v>3968</v>
      </c>
      <c r="Q294" s="155">
        <f>M294*O294</f>
        <v>0</v>
      </c>
      <c r="R294" s="156">
        <f>N294*O294</f>
        <v>512</v>
      </c>
      <c r="S294" s="52">
        <f>(L294+M294+N294)*O294</f>
        <v>319358.97599999997</v>
      </c>
      <c r="T294" s="841" t="s">
        <v>408</v>
      </c>
      <c r="U294" s="842">
        <f>IF($T294="RP",O294,"")</f>
        <v>64</v>
      </c>
      <c r="V294" s="842">
        <f>IF($T294="RP",P294,"")</f>
        <v>3968</v>
      </c>
      <c r="W294" s="842">
        <f>IF($T294="RP",SUM(Q294:R294),"")</f>
        <v>512</v>
      </c>
      <c r="X294" s="842" t="str">
        <f>IF($T294="RK",O294,"")</f>
        <v/>
      </c>
      <c r="Y294" s="842" t="str">
        <f>IF($T294="RK",P294,"")</f>
        <v/>
      </c>
      <c r="Z294" s="984" t="str">
        <f>IF($T294="Rk",SUM(Q294:R294),"")</f>
        <v/>
      </c>
      <c r="AA294" s="1"/>
      <c r="AB294" s="1"/>
      <c r="AC294" s="1"/>
      <c r="AD294" s="1"/>
      <c r="AE294" s="1"/>
      <c r="IQ294" s="86"/>
      <c r="IR294" s="86"/>
      <c r="IS294" s="86"/>
      <c r="IT294" s="86"/>
      <c r="IU294" s="86"/>
      <c r="IV294" s="86"/>
    </row>
    <row r="295" spans="1:256" s="73" customFormat="1">
      <c r="A295" s="990"/>
      <c r="B295" s="130" t="s">
        <v>143</v>
      </c>
      <c r="C295" s="131"/>
      <c r="D295" s="131"/>
      <c r="E295" s="131"/>
      <c r="F295" s="131"/>
      <c r="G295" s="131"/>
      <c r="H295" s="131"/>
      <c r="I295" s="132"/>
      <c r="J295" s="132"/>
      <c r="K295" s="132"/>
      <c r="L295" s="161"/>
      <c r="M295" s="161"/>
      <c r="N295" s="265"/>
      <c r="O295" s="743"/>
      <c r="P295" s="163"/>
      <c r="Q295" s="164"/>
      <c r="R295" s="164"/>
      <c r="S295" s="161"/>
      <c r="T295" s="85"/>
      <c r="U295" s="784"/>
      <c r="V295" s="784"/>
      <c r="X295" s="855"/>
      <c r="Y295" s="784"/>
      <c r="Z295" s="973"/>
      <c r="AA295" s="1"/>
      <c r="AB295" s="1"/>
      <c r="AC295" s="1"/>
      <c r="AD295" s="1"/>
      <c r="AE295" s="1"/>
      <c r="IQ295" s="86"/>
      <c r="IR295" s="86"/>
      <c r="IS295" s="86"/>
      <c r="IT295" s="86"/>
      <c r="IU295" s="86"/>
      <c r="IV295" s="86"/>
    </row>
    <row r="296" spans="1:256" s="73" customFormat="1" ht="12" thickBot="1">
      <c r="A296" s="990"/>
      <c r="B296" s="130" t="s">
        <v>50</v>
      </c>
      <c r="C296" s="131">
        <v>0</v>
      </c>
      <c r="D296" s="131">
        <v>2</v>
      </c>
      <c r="E296" s="131">
        <v>12</v>
      </c>
      <c r="F296" s="131">
        <v>1</v>
      </c>
      <c r="G296" s="131">
        <v>0</v>
      </c>
      <c r="H296" s="45">
        <f>SUM(C296:G296)</f>
        <v>15</v>
      </c>
      <c r="I296" s="132"/>
      <c r="J296" s="132"/>
      <c r="K296" s="132"/>
      <c r="L296" s="47">
        <f>((C296*$C$5)+(D296*$D$5)+(E296*$E$5)+(F296*$F$5)+(G296*$G$5))</f>
        <v>1137.7519999999997</v>
      </c>
      <c r="M296" s="161">
        <v>0</v>
      </c>
      <c r="N296" s="265">
        <v>8</v>
      </c>
      <c r="O296" s="743">
        <f>0.1*P10</f>
        <v>6.4</v>
      </c>
      <c r="P296" s="50">
        <f>(C296+D296+E296+F296+G296)*O296</f>
        <v>96</v>
      </c>
      <c r="Q296" s="51">
        <f>M296*O296</f>
        <v>0</v>
      </c>
      <c r="R296" s="51">
        <f>N296*O296</f>
        <v>51.2</v>
      </c>
      <c r="S296" s="52">
        <f>(L296+M296+N296)*O296</f>
        <v>7332.8127999999988</v>
      </c>
      <c r="T296" s="841" t="s">
        <v>408</v>
      </c>
      <c r="U296" s="842">
        <f>IF($T296="RP",O296,"")</f>
        <v>6.4</v>
      </c>
      <c r="V296" s="842">
        <f>IF($T296="RP",P296,"")</f>
        <v>96</v>
      </c>
      <c r="W296" s="842">
        <f>IF($T296="RP",SUM(Q296:R296),"")</f>
        <v>51.2</v>
      </c>
      <c r="X296" s="842" t="str">
        <f>IF($T296="RK",O296,"")</f>
        <v/>
      </c>
      <c r="Y296" s="842" t="str">
        <f>IF($T296="RK",P296,"")</f>
        <v/>
      </c>
      <c r="Z296" s="984" t="str">
        <f>IF($T296="Rk",SUM(Q296:R296),"")</f>
        <v/>
      </c>
      <c r="AA296" s="1"/>
      <c r="AB296" s="1"/>
      <c r="AC296" s="1"/>
      <c r="AD296" s="1"/>
      <c r="AE296" s="1"/>
      <c r="IQ296" s="86"/>
      <c r="IR296" s="86"/>
      <c r="IS296" s="86"/>
      <c r="IT296" s="86"/>
      <c r="IU296" s="86"/>
      <c r="IV296" s="86"/>
    </row>
    <row r="297" spans="1:256" s="73" customFormat="1" ht="12.75" thickTop="1" thickBot="1">
      <c r="A297" s="1068" t="s">
        <v>29</v>
      </c>
      <c r="B297" s="172"/>
      <c r="C297" s="55">
        <f t="shared" ref="C297:H297" si="89">SUM(C293:C296)</f>
        <v>0</v>
      </c>
      <c r="D297" s="55">
        <f t="shared" si="89"/>
        <v>12</v>
      </c>
      <c r="E297" s="55">
        <f t="shared" si="89"/>
        <v>36</v>
      </c>
      <c r="F297" s="55">
        <f t="shared" si="89"/>
        <v>9</v>
      </c>
      <c r="G297" s="55">
        <f t="shared" si="89"/>
        <v>20</v>
      </c>
      <c r="H297" s="55">
        <f t="shared" si="89"/>
        <v>77</v>
      </c>
      <c r="I297" s="174" t="e">
        <f>#REF!</f>
        <v>#REF!</v>
      </c>
      <c r="J297" s="174" t="e">
        <f>#REF!</f>
        <v>#REF!</v>
      </c>
      <c r="K297" s="174" t="e">
        <f>#REF!</f>
        <v>#REF!</v>
      </c>
      <c r="L297" s="57">
        <f>SUM(L293:L296)</f>
        <v>6119.735999999999</v>
      </c>
      <c r="M297" s="57">
        <f>SUM(M293:M296)</f>
        <v>0</v>
      </c>
      <c r="N297" s="58">
        <f>SUM(N293:N296)</f>
        <v>16</v>
      </c>
      <c r="O297" s="797"/>
      <c r="P297" s="122">
        <f>SUM(P293:P296)</f>
        <v>4064</v>
      </c>
      <c r="Q297" s="57">
        <f>SUM(Q293:Q296)</f>
        <v>0</v>
      </c>
      <c r="R297" s="57">
        <f>SUM(R293:R296)</f>
        <v>563.20000000000005</v>
      </c>
      <c r="S297" s="57">
        <f>SUM(S293:S296)</f>
        <v>326691.78879999998</v>
      </c>
      <c r="T297" s="57"/>
      <c r="U297" s="853">
        <f t="shared" ref="U297:Z297" si="90">SUM(U293:U296)</f>
        <v>70.400000000000006</v>
      </c>
      <c r="V297" s="853">
        <f t="shared" si="90"/>
        <v>4064</v>
      </c>
      <c r="W297" s="57">
        <f t="shared" si="90"/>
        <v>563.20000000000005</v>
      </c>
      <c r="X297" s="853">
        <f t="shared" si="90"/>
        <v>0</v>
      </c>
      <c r="Y297" s="853">
        <f t="shared" si="90"/>
        <v>0</v>
      </c>
      <c r="Z297" s="976">
        <f t="shared" si="90"/>
        <v>0</v>
      </c>
      <c r="AA297" s="1"/>
      <c r="AB297" s="1"/>
      <c r="AC297" s="1"/>
      <c r="AD297" s="1"/>
      <c r="AE297" s="1"/>
      <c r="IQ297" s="86"/>
      <c r="IR297" s="86"/>
      <c r="IS297" s="86"/>
      <c r="IT297" s="86"/>
      <c r="IU297" s="86"/>
      <c r="IV297" s="86"/>
    </row>
    <row r="298" spans="1:256" s="73" customFormat="1" ht="12" thickTop="1">
      <c r="A298" s="980" t="s">
        <v>0</v>
      </c>
      <c r="B298" s="177"/>
      <c r="C298" s="135"/>
      <c r="D298" s="135"/>
      <c r="E298" s="135"/>
      <c r="F298" s="135"/>
      <c r="G298" s="135"/>
      <c r="H298" s="135"/>
      <c r="I298" s="136"/>
      <c r="J298" s="136"/>
      <c r="K298" s="136"/>
      <c r="L298" s="137"/>
      <c r="M298" s="137"/>
      <c r="N298" s="285"/>
      <c r="O298" s="741"/>
      <c r="P298" s="140"/>
      <c r="Q298" s="141"/>
      <c r="R298" s="141"/>
      <c r="S298" s="142"/>
      <c r="T298" s="85"/>
      <c r="U298" s="784"/>
      <c r="V298" s="784"/>
      <c r="X298" s="855"/>
      <c r="Y298" s="784"/>
      <c r="Z298" s="973"/>
      <c r="AA298" s="1"/>
      <c r="AB298" s="1"/>
      <c r="AC298" s="1"/>
      <c r="AD298" s="1"/>
      <c r="AE298" s="1"/>
      <c r="IQ298" s="86"/>
      <c r="IR298" s="86"/>
      <c r="IS298" s="86"/>
      <c r="IT298" s="86"/>
      <c r="IU298" s="86"/>
      <c r="IV298" s="86"/>
    </row>
    <row r="299" spans="1:256" s="73" customFormat="1" ht="12" thickBot="1">
      <c r="A299" s="990"/>
      <c r="B299" s="130" t="s">
        <v>1</v>
      </c>
      <c r="C299" s="111">
        <v>0</v>
      </c>
      <c r="D299" s="111">
        <v>4</v>
      </c>
      <c r="E299" s="111">
        <v>20</v>
      </c>
      <c r="F299" s="111">
        <v>4</v>
      </c>
      <c r="G299" s="111">
        <v>20</v>
      </c>
      <c r="H299" s="45">
        <f>SUM(C299:G299)</f>
        <v>48</v>
      </c>
      <c r="I299" s="46">
        <f>D299*$O299</f>
        <v>256</v>
      </c>
      <c r="J299" s="46">
        <f>E299*$O299</f>
        <v>1280</v>
      </c>
      <c r="K299" s="46">
        <f>F299*$O299</f>
        <v>256</v>
      </c>
      <c r="L299" s="47">
        <f>((C299*$C$5)+(D299*$D$5)+(E299*$E$5)+(F299*$F$5)+(G299*$G$5))</f>
        <v>3957.7999999999997</v>
      </c>
      <c r="M299" s="350">
        <v>0</v>
      </c>
      <c r="N299" s="351">
        <v>0</v>
      </c>
      <c r="O299" s="792">
        <f>P10</f>
        <v>64</v>
      </c>
      <c r="P299" s="50">
        <f>(C299+D299+E299+F299+G299)*O299</f>
        <v>3072</v>
      </c>
      <c r="Q299" s="51">
        <f>M299*O299</f>
        <v>0</v>
      </c>
      <c r="R299" s="51">
        <f>N299*O299</f>
        <v>0</v>
      </c>
      <c r="S299" s="52">
        <f>(L299+M299+N299)*O299</f>
        <v>253299.19999999998</v>
      </c>
      <c r="T299" s="85" t="s">
        <v>407</v>
      </c>
      <c r="U299" s="842" t="str">
        <f>IF($T299="RP",O299,"")</f>
        <v/>
      </c>
      <c r="V299" s="842" t="str">
        <f>IF($T299="RP",P299,"")</f>
        <v/>
      </c>
      <c r="W299" s="842" t="str">
        <f>IF($T299="RP",SUM(Q299:R299),"")</f>
        <v/>
      </c>
      <c r="X299" s="842">
        <f>IF($T299="RK",O299,"")</f>
        <v>64</v>
      </c>
      <c r="Y299" s="842">
        <f>IF($T299="RK",P299,"")</f>
        <v>3072</v>
      </c>
      <c r="Z299" s="984">
        <f>IF($T299="Rk",SUM(Q299:R299),"")</f>
        <v>0</v>
      </c>
      <c r="AA299" s="1"/>
      <c r="AB299" s="1"/>
      <c r="AC299" s="1"/>
      <c r="AD299" s="1"/>
      <c r="AE299" s="1"/>
      <c r="IQ299" s="86"/>
      <c r="IR299" s="86"/>
      <c r="IS299" s="86"/>
      <c r="IT299" s="86"/>
      <c r="IU299" s="86"/>
      <c r="IV299" s="86"/>
    </row>
    <row r="300" spans="1:256" s="73" customFormat="1" ht="12.75" thickTop="1" thickBot="1">
      <c r="A300" s="1068" t="s">
        <v>29</v>
      </c>
      <c r="B300" s="172"/>
      <c r="C300" s="55">
        <f t="shared" ref="C300:S300" si="91">C299</f>
        <v>0</v>
      </c>
      <c r="D300" s="55">
        <f t="shared" si="91"/>
        <v>4</v>
      </c>
      <c r="E300" s="55">
        <f t="shared" si="91"/>
        <v>20</v>
      </c>
      <c r="F300" s="55">
        <f t="shared" si="91"/>
        <v>4</v>
      </c>
      <c r="G300" s="55">
        <f t="shared" si="91"/>
        <v>20</v>
      </c>
      <c r="H300" s="55">
        <f t="shared" si="91"/>
        <v>48</v>
      </c>
      <c r="I300" s="230">
        <f t="shared" si="91"/>
        <v>256</v>
      </c>
      <c r="J300" s="230">
        <f t="shared" si="91"/>
        <v>1280</v>
      </c>
      <c r="K300" s="230">
        <f t="shared" si="91"/>
        <v>256</v>
      </c>
      <c r="L300" s="57">
        <f t="shared" si="91"/>
        <v>3957.7999999999997</v>
      </c>
      <c r="M300" s="57">
        <f t="shared" si="91"/>
        <v>0</v>
      </c>
      <c r="N300" s="58">
        <f t="shared" si="91"/>
        <v>0</v>
      </c>
      <c r="O300" s="794"/>
      <c r="P300" s="60">
        <f t="shared" si="91"/>
        <v>3072</v>
      </c>
      <c r="Q300" s="61">
        <f t="shared" si="91"/>
        <v>0</v>
      </c>
      <c r="R300" s="61">
        <f t="shared" si="91"/>
        <v>0</v>
      </c>
      <c r="S300" s="62">
        <f t="shared" si="91"/>
        <v>253299.19999999998</v>
      </c>
      <c r="T300" s="62"/>
      <c r="U300" s="849" t="str">
        <f t="shared" ref="U300:Z300" si="92">U299</f>
        <v/>
      </c>
      <c r="V300" s="849" t="str">
        <f t="shared" si="92"/>
        <v/>
      </c>
      <c r="W300" s="62" t="str">
        <f t="shared" si="92"/>
        <v/>
      </c>
      <c r="X300" s="849">
        <f t="shared" si="92"/>
        <v>64</v>
      </c>
      <c r="Y300" s="849">
        <f t="shared" si="92"/>
        <v>3072</v>
      </c>
      <c r="Z300" s="976">
        <f t="shared" si="92"/>
        <v>0</v>
      </c>
      <c r="AA300" s="1"/>
      <c r="AB300" s="1"/>
      <c r="AC300" s="1"/>
      <c r="AD300" s="1"/>
      <c r="AE300" s="1"/>
      <c r="IQ300" s="86"/>
      <c r="IR300" s="86"/>
      <c r="IS300" s="86"/>
      <c r="IT300" s="86"/>
      <c r="IU300" s="86"/>
      <c r="IV300" s="86"/>
    </row>
    <row r="301" spans="1:256" s="73" customFormat="1" ht="12" thickTop="1">
      <c r="A301" s="980" t="s">
        <v>193</v>
      </c>
      <c r="B301" s="177"/>
      <c r="C301" s="135"/>
      <c r="D301" s="135"/>
      <c r="E301" s="135"/>
      <c r="F301" s="135"/>
      <c r="G301" s="135"/>
      <c r="H301" s="135"/>
      <c r="I301" s="136"/>
      <c r="J301" s="136"/>
      <c r="K301" s="136"/>
      <c r="L301" s="137"/>
      <c r="M301" s="137"/>
      <c r="N301" s="495"/>
      <c r="O301" s="741"/>
      <c r="P301" s="140"/>
      <c r="Q301" s="141"/>
      <c r="R301" s="141"/>
      <c r="S301" s="142"/>
      <c r="T301" s="85"/>
      <c r="U301" s="784"/>
      <c r="V301" s="784"/>
      <c r="X301" s="855"/>
      <c r="Y301" s="784"/>
      <c r="Z301" s="973"/>
      <c r="AA301" s="1"/>
      <c r="AB301" s="1"/>
      <c r="AC301" s="1"/>
      <c r="AD301" s="1"/>
      <c r="AE301" s="1"/>
      <c r="IQ301" s="86"/>
      <c r="IR301" s="86"/>
      <c r="IS301" s="86"/>
      <c r="IT301" s="86"/>
      <c r="IU301" s="86"/>
      <c r="IV301" s="86"/>
    </row>
    <row r="302" spans="1:256" s="73" customFormat="1">
      <c r="A302" s="990"/>
      <c r="B302" s="130" t="s">
        <v>2</v>
      </c>
      <c r="C302" s="145"/>
      <c r="D302" s="146"/>
      <c r="E302" s="146"/>
      <c r="F302" s="146"/>
      <c r="G302" s="146"/>
      <c r="H302" s="146"/>
      <c r="I302" s="147"/>
      <c r="J302" s="147"/>
      <c r="K302" s="147"/>
      <c r="L302" s="148"/>
      <c r="M302" s="148"/>
      <c r="N302" s="494"/>
      <c r="O302" s="796"/>
      <c r="P302" s="151"/>
      <c r="Q302" s="152"/>
      <c r="R302" s="152"/>
      <c r="S302" s="148"/>
      <c r="T302" s="85"/>
      <c r="U302" s="784"/>
      <c r="V302" s="784"/>
      <c r="X302" s="855"/>
      <c r="Y302" s="784"/>
      <c r="Z302" s="973"/>
      <c r="AA302" s="1"/>
      <c r="AB302" s="1"/>
      <c r="AC302" s="1"/>
      <c r="AD302" s="1"/>
      <c r="AE302" s="1"/>
      <c r="IQ302" s="86"/>
      <c r="IR302" s="86"/>
      <c r="IS302" s="86"/>
      <c r="IT302" s="86"/>
      <c r="IU302" s="86"/>
      <c r="IV302" s="86"/>
    </row>
    <row r="303" spans="1:256" s="73" customFormat="1">
      <c r="A303" s="980"/>
      <c r="B303" s="165" t="s">
        <v>3</v>
      </c>
      <c r="C303" s="166">
        <v>0</v>
      </c>
      <c r="D303" s="167">
        <v>1</v>
      </c>
      <c r="E303" s="167">
        <v>12</v>
      </c>
      <c r="F303" s="167">
        <v>6</v>
      </c>
      <c r="G303" s="167">
        <v>24</v>
      </c>
      <c r="H303" s="45">
        <f>SUM(C303:G303)</f>
        <v>43</v>
      </c>
      <c r="I303" s="132"/>
      <c r="J303" s="132"/>
      <c r="K303" s="132"/>
      <c r="L303" s="47">
        <f>((C303*$C$5)+(D303*$D$5)+(E303*$E$5)+(F303*$F$5)+(G303*$G$5))</f>
        <v>3520.6080000000002</v>
      </c>
      <c r="M303" s="142">
        <v>0</v>
      </c>
      <c r="N303" s="285">
        <v>8</v>
      </c>
      <c r="O303" s="791">
        <f>P10</f>
        <v>64</v>
      </c>
      <c r="P303" s="50">
        <f>(C303+D303+E303+F303+G303)*O303</f>
        <v>2752</v>
      </c>
      <c r="Q303" s="155">
        <f>M303*O303</f>
        <v>0</v>
      </c>
      <c r="R303" s="156">
        <f>N303*O303</f>
        <v>512</v>
      </c>
      <c r="S303" s="52">
        <f>(L303+M303+N303)*O303</f>
        <v>225830.91200000001</v>
      </c>
      <c r="T303" s="841" t="s">
        <v>408</v>
      </c>
      <c r="U303" s="842">
        <f>IF($T303="RP",O303,"")</f>
        <v>64</v>
      </c>
      <c r="V303" s="842">
        <f>IF($T303="RP",P303,"")</f>
        <v>2752</v>
      </c>
      <c r="W303" s="842">
        <f>IF($T303="RP",SUM(Q303:R303),"")</f>
        <v>512</v>
      </c>
      <c r="X303" s="842" t="str">
        <f>IF($T303="RK",O303,"")</f>
        <v/>
      </c>
      <c r="Y303" s="842" t="str">
        <f>IF($T303="RK",P303,"")</f>
        <v/>
      </c>
      <c r="Z303" s="984" t="str">
        <f>IF($T303="Rk",SUM(Q303:R303),"")</f>
        <v/>
      </c>
      <c r="AA303" s="1"/>
      <c r="AB303" s="1"/>
      <c r="AC303" s="1"/>
      <c r="AD303" s="1"/>
      <c r="AE303" s="1"/>
      <c r="IQ303" s="86"/>
      <c r="IR303" s="86"/>
      <c r="IS303" s="86"/>
      <c r="IT303" s="86"/>
      <c r="IU303" s="86"/>
      <c r="IV303" s="86"/>
    </row>
    <row r="304" spans="1:256" s="73" customFormat="1">
      <c r="A304" s="990"/>
      <c r="B304" s="130" t="s">
        <v>4</v>
      </c>
      <c r="C304" s="131"/>
      <c r="D304" s="131"/>
      <c r="E304" s="131"/>
      <c r="F304" s="131"/>
      <c r="G304" s="131"/>
      <c r="H304" s="131"/>
      <c r="I304" s="132"/>
      <c r="J304" s="132"/>
      <c r="K304" s="132"/>
      <c r="L304" s="161"/>
      <c r="M304" s="161"/>
      <c r="N304" s="265"/>
      <c r="O304" s="743"/>
      <c r="P304" s="163"/>
      <c r="Q304" s="164"/>
      <c r="R304" s="164"/>
      <c r="S304" s="161"/>
      <c r="T304" s="85"/>
      <c r="U304" s="784"/>
      <c r="V304" s="784"/>
      <c r="X304" s="855"/>
      <c r="Y304" s="784"/>
      <c r="Z304" s="973"/>
      <c r="AA304" s="1"/>
      <c r="AB304" s="1"/>
      <c r="AC304" s="1"/>
      <c r="AD304" s="1"/>
      <c r="AE304" s="1"/>
      <c r="IQ304" s="86"/>
      <c r="IR304" s="86"/>
      <c r="IS304" s="86"/>
      <c r="IT304" s="86"/>
      <c r="IU304" s="86"/>
      <c r="IV304" s="86"/>
    </row>
    <row r="305" spans="1:256" s="73" customFormat="1" ht="12" thickBot="1">
      <c r="A305" s="980"/>
      <c r="B305" s="130" t="s">
        <v>323</v>
      </c>
      <c r="C305" s="131">
        <v>0</v>
      </c>
      <c r="D305" s="131">
        <v>1</v>
      </c>
      <c r="E305" s="131">
        <v>10</v>
      </c>
      <c r="F305" s="131">
        <v>4</v>
      </c>
      <c r="G305" s="131">
        <v>8</v>
      </c>
      <c r="H305" s="45">
        <f>SUM(C305:G305)</f>
        <v>23</v>
      </c>
      <c r="I305" s="132"/>
      <c r="J305" s="132"/>
      <c r="K305" s="132"/>
      <c r="L305" s="47">
        <f>((C305*$C$5)+(D305*$D$5)+(E305*$E$5)+(F305*$F$5)+(G305*$G$5))</f>
        <v>1765.8199999999997</v>
      </c>
      <c r="M305" s="161">
        <v>0</v>
      </c>
      <c r="N305" s="265">
        <v>8</v>
      </c>
      <c r="O305" s="743">
        <v>0</v>
      </c>
      <c r="P305" s="50">
        <f>(C305+D305+E305+F305+G305)*O305</f>
        <v>0</v>
      </c>
      <c r="Q305" s="51">
        <f>M305*O305</f>
        <v>0</v>
      </c>
      <c r="R305" s="51">
        <f>N305*O305</f>
        <v>0</v>
      </c>
      <c r="S305" s="52">
        <f>(L305+M305+N305)*O305</f>
        <v>0</v>
      </c>
      <c r="T305" s="841" t="s">
        <v>408</v>
      </c>
      <c r="U305" s="842">
        <f>IF($T305="RP",O305,"")</f>
        <v>0</v>
      </c>
      <c r="V305" s="842">
        <f>IF($T305="RP",P305,"")</f>
        <v>0</v>
      </c>
      <c r="W305" s="842">
        <f>IF($T305="RP",SUM(Q305:R305),"")</f>
        <v>0</v>
      </c>
      <c r="X305" s="842" t="str">
        <f>IF($T305="RK",O305,"")</f>
        <v/>
      </c>
      <c r="Y305" s="842" t="str">
        <f>IF($T305="RK",P305,"")</f>
        <v/>
      </c>
      <c r="Z305" s="984" t="str">
        <f>IF($T305="Rk",SUM(Q305:R305),"")</f>
        <v/>
      </c>
      <c r="AA305" s="1"/>
      <c r="AB305" s="1"/>
      <c r="AC305" s="1"/>
      <c r="AD305" s="1"/>
      <c r="AE305" s="1"/>
      <c r="IQ305" s="86"/>
      <c r="IR305" s="86"/>
      <c r="IS305" s="86"/>
      <c r="IT305" s="86"/>
      <c r="IU305" s="86"/>
      <c r="IV305" s="86"/>
    </row>
    <row r="306" spans="1:256" s="73" customFormat="1" ht="12.75" thickTop="1" thickBot="1">
      <c r="A306" s="987" t="s">
        <v>29</v>
      </c>
      <c r="B306" s="172"/>
      <c r="C306" s="55">
        <f t="shared" ref="C306:H306" si="93">SUM(C303:C305)</f>
        <v>0</v>
      </c>
      <c r="D306" s="55">
        <f t="shared" si="93"/>
        <v>2</v>
      </c>
      <c r="E306" s="55">
        <f t="shared" si="93"/>
        <v>22</v>
      </c>
      <c r="F306" s="55">
        <f t="shared" si="93"/>
        <v>10</v>
      </c>
      <c r="G306" s="55">
        <f t="shared" si="93"/>
        <v>32</v>
      </c>
      <c r="H306" s="55">
        <f t="shared" si="93"/>
        <v>66</v>
      </c>
      <c r="I306" s="496" t="e">
        <f>#REF!</f>
        <v>#REF!</v>
      </c>
      <c r="J306" s="496" t="e">
        <f>#REF!</f>
        <v>#REF!</v>
      </c>
      <c r="K306" s="496" t="e">
        <f>#REF!</f>
        <v>#REF!</v>
      </c>
      <c r="L306" s="57">
        <f>SUM(L303:L305)</f>
        <v>5286.4279999999999</v>
      </c>
      <c r="M306" s="57">
        <f>SUM(M303:M305)</f>
        <v>0</v>
      </c>
      <c r="N306" s="58">
        <f>SUM(N303:N305)</f>
        <v>16</v>
      </c>
      <c r="O306" s="497"/>
      <c r="P306" s="122">
        <f>SUM(P303:P305)</f>
        <v>2752</v>
      </c>
      <c r="Q306" s="57">
        <f>SUM(Q303:Q305)</f>
        <v>0</v>
      </c>
      <c r="R306" s="57">
        <f>SUM(R303:R305)</f>
        <v>512</v>
      </c>
      <c r="S306" s="57">
        <f>SUM(S303:S305)</f>
        <v>225830.91200000001</v>
      </c>
      <c r="T306" s="57"/>
      <c r="U306" s="853">
        <f t="shared" ref="U306:Z306" si="94">SUM(U303:U305)</f>
        <v>64</v>
      </c>
      <c r="V306" s="853">
        <f t="shared" si="94"/>
        <v>2752</v>
      </c>
      <c r="W306" s="57">
        <f t="shared" si="94"/>
        <v>512</v>
      </c>
      <c r="X306" s="853">
        <f t="shared" si="94"/>
        <v>0</v>
      </c>
      <c r="Y306" s="853">
        <f t="shared" si="94"/>
        <v>0</v>
      </c>
      <c r="Z306" s="976">
        <f t="shared" si="94"/>
        <v>0</v>
      </c>
      <c r="AA306" s="1"/>
      <c r="AB306" s="1"/>
      <c r="AC306" s="1"/>
      <c r="AD306" s="1"/>
      <c r="AE306" s="1"/>
      <c r="IQ306" s="86"/>
      <c r="IR306" s="86"/>
      <c r="IS306" s="86"/>
      <c r="IT306" s="86"/>
      <c r="IU306" s="86"/>
      <c r="IV306" s="86"/>
    </row>
    <row r="307" spans="1:256" s="73" customFormat="1" ht="12.75" thickTop="1" thickBot="1">
      <c r="A307" s="1068"/>
      <c r="B307" s="65"/>
      <c r="C307" s="66"/>
      <c r="D307" s="66"/>
      <c r="E307" s="66"/>
      <c r="F307" s="66"/>
      <c r="G307" s="66"/>
      <c r="H307" s="66"/>
      <c r="I307" s="498"/>
      <c r="J307" s="498"/>
      <c r="K307" s="498"/>
      <c r="L307" s="68"/>
      <c r="M307" s="68"/>
      <c r="N307" s="69"/>
      <c r="O307" s="499"/>
      <c r="P307" s="237"/>
      <c r="Q307" s="68"/>
      <c r="R307" s="68"/>
      <c r="S307" s="72"/>
      <c r="T307" s="85"/>
      <c r="U307" s="784"/>
      <c r="V307" s="784"/>
      <c r="X307" s="855"/>
      <c r="Y307" s="784"/>
      <c r="Z307" s="973"/>
      <c r="AA307" s="86"/>
      <c r="AB307" s="86"/>
      <c r="AC307" s="86"/>
      <c r="AD307" s="86"/>
      <c r="AE307" s="86"/>
      <c r="IQ307" s="86"/>
      <c r="IR307" s="86"/>
      <c r="IS307" s="86"/>
      <c r="IT307" s="86"/>
      <c r="IU307" s="86"/>
      <c r="IV307" s="86"/>
    </row>
    <row r="308" spans="1:256" s="73" customFormat="1" ht="12.75" thickTop="1" thickBot="1">
      <c r="A308" s="1002" t="s">
        <v>269</v>
      </c>
      <c r="B308" s="1003"/>
      <c r="C308" s="1004"/>
      <c r="D308" s="1004"/>
      <c r="E308" s="1004"/>
      <c r="F308" s="1004"/>
      <c r="G308" s="1004"/>
      <c r="H308" s="1005">
        <f>SUM(H283,H287,H297,H300,H306,H291)</f>
        <v>283</v>
      </c>
      <c r="I308" s="1076"/>
      <c r="J308" s="1076"/>
      <c r="K308" s="1076"/>
      <c r="L308" s="1007">
        <f>SUM(L283,L287,L297,L300,L306,L291)</f>
        <v>22761.732</v>
      </c>
      <c r="M308" s="1007">
        <f>SUM(M283,M287,M297,M300,M306,M291)</f>
        <v>0</v>
      </c>
      <c r="N308" s="1074">
        <f>SUM(N283,N287,N297,N300,N306,N291)</f>
        <v>42</v>
      </c>
      <c r="O308" s="1008"/>
      <c r="P308" s="1009">
        <f>SUM(P283,P287,P297,P300,P306,P291)</f>
        <v>15747.2</v>
      </c>
      <c r="Q308" s="1007">
        <f>SUM(Q283,Q287,Q297,Q300,Q306,Q291)</f>
        <v>0</v>
      </c>
      <c r="R308" s="1007">
        <f>SUM(R283,R287,R297,R300,R306,R291)</f>
        <v>1254.4000000000001</v>
      </c>
      <c r="S308" s="1007">
        <f>SUM(S283,S287,S297,S300,S306,S291)</f>
        <v>1278397.0304</v>
      </c>
      <c r="T308" s="1007"/>
      <c r="U308" s="1010">
        <f t="shared" ref="U308:Z308" si="95">SUM(U283,U287,U297,U300,U306,U291)</f>
        <v>268.8</v>
      </c>
      <c r="V308" s="1010">
        <f t="shared" si="95"/>
        <v>7587.2</v>
      </c>
      <c r="W308" s="1007">
        <f t="shared" si="95"/>
        <v>1254.4000000000001</v>
      </c>
      <c r="X308" s="1010">
        <f t="shared" si="95"/>
        <v>192</v>
      </c>
      <c r="Y308" s="1010">
        <f t="shared" si="95"/>
        <v>8160</v>
      </c>
      <c r="Z308" s="1011">
        <f t="shared" si="95"/>
        <v>0</v>
      </c>
      <c r="AA308" s="1"/>
      <c r="AB308" s="1"/>
      <c r="AC308" s="1"/>
      <c r="AD308" s="1"/>
      <c r="AE308" s="1"/>
      <c r="IQ308" s="86"/>
      <c r="IR308" s="86"/>
      <c r="IS308" s="86"/>
      <c r="IT308" s="86"/>
      <c r="IU308" s="86"/>
      <c r="IV308" s="86"/>
    </row>
    <row r="309" spans="1:256" s="73" customFormat="1">
      <c r="A309" s="10"/>
      <c r="B309" s="10"/>
      <c r="C309" s="2"/>
      <c r="D309" s="2"/>
      <c r="E309" s="2"/>
      <c r="F309" s="2"/>
      <c r="G309" s="2"/>
      <c r="H309" s="2"/>
      <c r="I309" s="3"/>
      <c r="J309" s="3"/>
      <c r="K309" s="3"/>
      <c r="L309" s="4"/>
      <c r="M309" s="5"/>
      <c r="N309" s="5"/>
      <c r="O309" s="6"/>
      <c r="P309" s="7"/>
      <c r="Q309" s="8"/>
      <c r="R309" s="8"/>
      <c r="S309" s="4"/>
      <c r="T309" s="9"/>
      <c r="U309" s="783"/>
      <c r="V309" s="783"/>
      <c r="X309" s="855"/>
      <c r="Y309" s="783"/>
      <c r="Z309" s="1"/>
      <c r="AA309" s="1"/>
      <c r="AB309" s="1"/>
      <c r="AC309" s="1"/>
      <c r="AD309" s="1"/>
      <c r="AE309" s="1"/>
      <c r="IQ309" s="86"/>
      <c r="IR309" s="86"/>
      <c r="IS309" s="86"/>
      <c r="IT309" s="86"/>
      <c r="IU309" s="86"/>
      <c r="IV309" s="86"/>
    </row>
    <row r="310" spans="1:256" s="73" customFormat="1">
      <c r="A310" s="500"/>
      <c r="B310" s="500"/>
      <c r="C310" s="501"/>
      <c r="D310" s="501"/>
      <c r="E310" s="501"/>
      <c r="F310" s="501"/>
      <c r="G310" s="501"/>
      <c r="H310" s="501"/>
      <c r="I310" s="502"/>
      <c r="J310" s="502"/>
      <c r="K310" s="502"/>
      <c r="L310" s="503"/>
      <c r="M310" s="504"/>
      <c r="N310" s="504"/>
      <c r="O310" s="505"/>
      <c r="P310" s="505"/>
      <c r="Q310" s="506"/>
      <c r="R310" s="506"/>
      <c r="S310" s="504"/>
      <c r="T310" s="9"/>
      <c r="U310" s="783"/>
      <c r="V310" s="783"/>
      <c r="X310" s="855"/>
      <c r="Y310" s="783"/>
      <c r="Z310" s="1"/>
      <c r="AA310" s="1"/>
      <c r="AB310" s="1"/>
      <c r="AC310" s="1"/>
      <c r="AD310" s="1"/>
      <c r="AE310" s="1"/>
      <c r="IQ310" s="86"/>
      <c r="IR310" s="86"/>
      <c r="IS310" s="86"/>
      <c r="IT310" s="86"/>
      <c r="IU310" s="86"/>
      <c r="IV310" s="86"/>
    </row>
    <row r="311" spans="1:256" s="73" customFormat="1">
      <c r="A311" s="500"/>
      <c r="B311" s="500"/>
      <c r="C311" s="501"/>
      <c r="D311" s="501"/>
      <c r="E311" s="501"/>
      <c r="F311" s="501"/>
      <c r="G311" s="501"/>
      <c r="H311" s="501"/>
      <c r="I311" s="502"/>
      <c r="J311" s="502"/>
      <c r="K311" s="502"/>
      <c r="L311" s="503"/>
      <c r="M311" s="504"/>
      <c r="N311" s="504"/>
      <c r="O311" s="505"/>
      <c r="P311" s="505"/>
      <c r="Q311" s="506"/>
      <c r="R311" s="506"/>
      <c r="S311" s="504"/>
      <c r="T311" s="9"/>
      <c r="U311" s="783"/>
      <c r="V311" s="783"/>
      <c r="X311" s="855"/>
      <c r="Y311" s="783"/>
      <c r="Z311" s="1"/>
      <c r="AA311" s="1"/>
      <c r="AB311" s="1"/>
      <c r="AC311" s="1"/>
      <c r="AD311" s="1"/>
      <c r="AE311" s="1"/>
      <c r="IQ311" s="86"/>
      <c r="IR311" s="86"/>
      <c r="IS311" s="86"/>
      <c r="IT311" s="86"/>
      <c r="IU311" s="86"/>
      <c r="IV311" s="86"/>
    </row>
    <row r="312" spans="1:256" s="73" customFormat="1" ht="12" thickBot="1">
      <c r="A312" s="500"/>
      <c r="B312" s="500"/>
      <c r="C312" s="501"/>
      <c r="D312" s="501"/>
      <c r="E312" s="501"/>
      <c r="F312" s="501"/>
      <c r="G312" s="501"/>
      <c r="H312" s="501"/>
      <c r="I312" s="502"/>
      <c r="J312" s="502"/>
      <c r="K312" s="502"/>
      <c r="L312" s="503"/>
      <c r="M312" s="504"/>
      <c r="N312" s="504"/>
      <c r="O312" s="505"/>
      <c r="P312" s="505"/>
      <c r="Q312" s="506"/>
      <c r="R312" s="506"/>
      <c r="S312" s="504"/>
      <c r="T312" s="9"/>
      <c r="U312" s="783"/>
      <c r="V312" s="783"/>
      <c r="X312" s="855"/>
      <c r="Y312" s="783"/>
      <c r="Z312" s="1"/>
      <c r="AA312" s="1"/>
      <c r="AB312" s="1"/>
      <c r="AC312" s="1"/>
      <c r="AD312" s="1"/>
      <c r="AE312" s="1"/>
      <c r="IQ312" s="86"/>
      <c r="IR312" s="86"/>
      <c r="IS312" s="86"/>
      <c r="IT312" s="86"/>
      <c r="IU312" s="86"/>
      <c r="IV312" s="86"/>
    </row>
    <row r="313" spans="1:256" s="73" customFormat="1" ht="12" thickBot="1">
      <c r="A313" s="959" t="s">
        <v>254</v>
      </c>
      <c r="B313" s="960"/>
      <c r="C313" s="1078"/>
      <c r="D313" s="1078"/>
      <c r="E313" s="1078"/>
      <c r="F313" s="1078"/>
      <c r="G313" s="1078"/>
      <c r="H313" s="1078"/>
      <c r="I313" s="1079"/>
      <c r="J313" s="1079"/>
      <c r="K313" s="1079"/>
      <c r="L313" s="1080"/>
      <c r="M313" s="1081"/>
      <c r="N313" s="1087"/>
      <c r="O313" s="1082"/>
      <c r="P313" s="1083"/>
      <c r="Q313" s="1084"/>
      <c r="R313" s="1084"/>
      <c r="S313" s="1088"/>
      <c r="T313" s="1084"/>
      <c r="U313" s="1089"/>
      <c r="V313" s="1089"/>
      <c r="W313" s="1084"/>
      <c r="X313" s="1089"/>
      <c r="Y313" s="1089"/>
      <c r="Z313" s="1090"/>
      <c r="AA313" s="1"/>
      <c r="AB313" s="1"/>
      <c r="AC313" s="229"/>
      <c r="AD313" s="229"/>
      <c r="AE313" s="229"/>
      <c r="AF313" s="229"/>
      <c r="AG313" s="229"/>
      <c r="IQ313" s="86"/>
      <c r="IR313" s="86"/>
      <c r="IS313" s="86"/>
      <c r="IT313" s="86"/>
      <c r="IU313" s="86"/>
      <c r="IV313" s="86"/>
    </row>
    <row r="314" spans="1:256" s="73" customFormat="1">
      <c r="A314" s="980" t="s">
        <v>350</v>
      </c>
      <c r="B314" s="177"/>
      <c r="C314" s="257"/>
      <c r="D314" s="257"/>
      <c r="E314" s="257"/>
      <c r="F314" s="257"/>
      <c r="G314" s="257"/>
      <c r="H314" s="257"/>
      <c r="I314" s="258"/>
      <c r="J314" s="258"/>
      <c r="K314" s="258"/>
      <c r="L314" s="42"/>
      <c r="M314" s="259"/>
      <c r="N314" s="260"/>
      <c r="O314" s="261"/>
      <c r="P314" s="41"/>
      <c r="Q314" s="262"/>
      <c r="R314" s="262"/>
      <c r="S314" s="263"/>
      <c r="T314" s="508"/>
      <c r="U314" s="784"/>
      <c r="V314" s="784"/>
      <c r="X314" s="855"/>
      <c r="Y314" s="784"/>
      <c r="Z314" s="973"/>
      <c r="AA314" s="1"/>
      <c r="AB314" s="1"/>
      <c r="IQ314" s="86"/>
      <c r="IR314" s="86"/>
      <c r="IS314" s="86"/>
      <c r="IT314" s="86"/>
      <c r="IU314" s="86"/>
      <c r="IV314" s="86"/>
    </row>
    <row r="315" spans="1:256" s="73" customFormat="1">
      <c r="A315" s="1125"/>
      <c r="B315" s="509" t="s">
        <v>280</v>
      </c>
      <c r="C315" s="158">
        <v>4</v>
      </c>
      <c r="D315" s="158">
        <v>5</v>
      </c>
      <c r="E315" s="158">
        <v>40</v>
      </c>
      <c r="F315" s="158">
        <v>3</v>
      </c>
      <c r="G315" s="158">
        <v>5</v>
      </c>
      <c r="H315" s="158">
        <f>SUM(C315:G315)</f>
        <v>57</v>
      </c>
      <c r="I315" s="510"/>
      <c r="J315" s="510"/>
      <c r="K315" s="510"/>
      <c r="L315" s="47">
        <f>((C315*$C$5)+(D315*$D$5)+(E315*$E$5)+(F315*$F$5)+(G315*$G$5))</f>
        <v>4544.3439999999991</v>
      </c>
      <c r="M315" s="511">
        <v>0</v>
      </c>
      <c r="N315" s="268">
        <v>20</v>
      </c>
      <c r="O315" s="512">
        <f>V10*0.1</f>
        <v>5.0333333333333341</v>
      </c>
      <c r="P315" s="513">
        <f>(C315+D315+E315+F315+G315)*O315</f>
        <v>286.90000000000003</v>
      </c>
      <c r="Q315" s="514">
        <f>M315*O315</f>
        <v>0</v>
      </c>
      <c r="R315" s="514">
        <f>N315*O315</f>
        <v>100.66666666666669</v>
      </c>
      <c r="S315" s="187">
        <f>(L315+M315+N315)*O315</f>
        <v>22973.864799999999</v>
      </c>
      <c r="T315" s="841" t="s">
        <v>408</v>
      </c>
      <c r="U315" s="842">
        <f t="shared" ref="U315:V319" si="96">IF($T315="RP",O315,"")</f>
        <v>5.0333333333333341</v>
      </c>
      <c r="V315" s="842">
        <f t="shared" si="96"/>
        <v>286.90000000000003</v>
      </c>
      <c r="W315" s="842">
        <f>IF($T315="RP",SUM(Q315:R315),"")</f>
        <v>100.66666666666669</v>
      </c>
      <c r="X315" s="842" t="str">
        <f t="shared" ref="X315:Y319" si="97">IF($T315="RK",O315,"")</f>
        <v/>
      </c>
      <c r="Y315" s="842" t="str">
        <f t="shared" si="97"/>
        <v/>
      </c>
      <c r="Z315" s="984" t="str">
        <f>IF($T315="Rk",SUM(Q315:R315),"")</f>
        <v/>
      </c>
      <c r="AA315" s="1"/>
      <c r="AB315" s="1"/>
      <c r="IQ315" s="86"/>
      <c r="IR315" s="86"/>
      <c r="IS315" s="86"/>
      <c r="IT315" s="86"/>
      <c r="IU315" s="86"/>
      <c r="IV315" s="86"/>
    </row>
    <row r="316" spans="1:256" s="73" customFormat="1">
      <c r="A316" s="1125"/>
      <c r="B316" s="509" t="s">
        <v>281</v>
      </c>
      <c r="C316" s="158">
        <v>0</v>
      </c>
      <c r="D316" s="158">
        <v>1</v>
      </c>
      <c r="E316" s="158">
        <v>3</v>
      </c>
      <c r="F316" s="158">
        <v>2</v>
      </c>
      <c r="G316" s="158">
        <v>0</v>
      </c>
      <c r="H316" s="158">
        <f>SUM(C316:G316)</f>
        <v>6</v>
      </c>
      <c r="I316" s="510"/>
      <c r="J316" s="510"/>
      <c r="K316" s="510"/>
      <c r="L316" s="47">
        <f>((C316*$C$5)+(D316*$D$5)+(E316*$E$5)+(F316*$F$5)+(G316*$G$5))</f>
        <v>396.71799999999996</v>
      </c>
      <c r="M316" s="511">
        <v>0</v>
      </c>
      <c r="N316" s="268">
        <v>150</v>
      </c>
      <c r="O316" s="512">
        <f>O315</f>
        <v>5.0333333333333341</v>
      </c>
      <c r="P316" s="513">
        <f>(C316+D316+E316+F316+G316)*O316</f>
        <v>30.200000000000003</v>
      </c>
      <c r="Q316" s="514">
        <f>M316*O316</f>
        <v>0</v>
      </c>
      <c r="R316" s="514">
        <f>N316*O316</f>
        <v>755.00000000000011</v>
      </c>
      <c r="S316" s="187">
        <f>(L316+M316+N316)*O316</f>
        <v>2751.8139333333334</v>
      </c>
      <c r="T316" s="841" t="s">
        <v>408</v>
      </c>
      <c r="U316" s="842">
        <f t="shared" si="96"/>
        <v>5.0333333333333341</v>
      </c>
      <c r="V316" s="842">
        <f t="shared" si="96"/>
        <v>30.200000000000003</v>
      </c>
      <c r="W316" s="842">
        <f>IF($T316="RP",SUM(Q316:R316),"")</f>
        <v>755.00000000000011</v>
      </c>
      <c r="X316" s="842" t="str">
        <f t="shared" si="97"/>
        <v/>
      </c>
      <c r="Y316" s="842" t="str">
        <f t="shared" si="97"/>
        <v/>
      </c>
      <c r="Z316" s="984" t="str">
        <f>IF($T316="Rk",SUM(Q316:R316),"")</f>
        <v/>
      </c>
      <c r="AA316" s="1"/>
      <c r="AB316" s="1"/>
      <c r="IQ316" s="86"/>
      <c r="IR316" s="86"/>
      <c r="IS316" s="86"/>
      <c r="IT316" s="86"/>
      <c r="IU316" s="86"/>
      <c r="IV316" s="86"/>
    </row>
    <row r="317" spans="1:256" s="73" customFormat="1">
      <c r="A317" s="1125"/>
      <c r="B317" s="509" t="s">
        <v>282</v>
      </c>
      <c r="C317" s="158">
        <v>2</v>
      </c>
      <c r="D317" s="158">
        <v>2</v>
      </c>
      <c r="E317" s="158">
        <v>15</v>
      </c>
      <c r="F317" s="158">
        <v>3</v>
      </c>
      <c r="G317" s="158">
        <v>5</v>
      </c>
      <c r="H317" s="158">
        <f>SUM(C317:G317)</f>
        <v>27</v>
      </c>
      <c r="I317" s="510"/>
      <c r="J317" s="510"/>
      <c r="K317" s="510"/>
      <c r="L317" s="47">
        <f>((C317*$C$5)+(D317*$D$5)+(E317*$E$5)+(F317*$F$5)+(G317*$G$5))</f>
        <v>2139.578</v>
      </c>
      <c r="M317" s="806">
        <v>250</v>
      </c>
      <c r="N317" s="268">
        <v>200</v>
      </c>
      <c r="O317" s="512">
        <f>O316</f>
        <v>5.0333333333333341</v>
      </c>
      <c r="P317" s="513">
        <f>(C317+D317+E317+F317+G317)*O317</f>
        <v>135.90000000000003</v>
      </c>
      <c r="Q317" s="514">
        <f>M317*O317</f>
        <v>1258.3333333333335</v>
      </c>
      <c r="R317" s="514">
        <f>N317*O317</f>
        <v>1006.6666666666669</v>
      </c>
      <c r="S317" s="187">
        <f>(L317+M317+N317)*O317</f>
        <v>13034.209266666669</v>
      </c>
      <c r="T317" s="841" t="s">
        <v>408</v>
      </c>
      <c r="U317" s="842">
        <f t="shared" si="96"/>
        <v>5.0333333333333341</v>
      </c>
      <c r="V317" s="842">
        <f t="shared" si="96"/>
        <v>135.90000000000003</v>
      </c>
      <c r="W317" s="842">
        <f>IF($T317="RP",SUM(Q317:R317),"")</f>
        <v>2265.0000000000005</v>
      </c>
      <c r="X317" s="842" t="str">
        <f t="shared" si="97"/>
        <v/>
      </c>
      <c r="Y317" s="842" t="str">
        <f t="shared" si="97"/>
        <v/>
      </c>
      <c r="Z317" s="984" t="str">
        <f>IF($T317="Rk",SUM(Q317:R317),"")</f>
        <v/>
      </c>
      <c r="AA317" s="1"/>
      <c r="AB317" s="1"/>
      <c r="IQ317" s="86"/>
      <c r="IR317" s="86"/>
      <c r="IS317" s="86"/>
      <c r="IT317" s="86"/>
      <c r="IU317" s="86"/>
      <c r="IV317" s="86"/>
    </row>
    <row r="318" spans="1:256" s="73" customFormat="1">
      <c r="A318" s="1125"/>
      <c r="B318" s="509" t="s">
        <v>283</v>
      </c>
      <c r="C318" s="158">
        <v>1</v>
      </c>
      <c r="D318" s="158">
        <v>1</v>
      </c>
      <c r="E318" s="158">
        <v>30</v>
      </c>
      <c r="F318" s="158">
        <v>3</v>
      </c>
      <c r="G318" s="158">
        <v>5</v>
      </c>
      <c r="H318" s="158">
        <f>SUM(C318:G318)</f>
        <v>40</v>
      </c>
      <c r="I318" s="510"/>
      <c r="J318" s="510"/>
      <c r="K318" s="510"/>
      <c r="L318" s="47">
        <f>((C318*$C$5)+(D318*$D$5)+(E318*$E$5)+(F318*$F$5)+(G318*$G$5))</f>
        <v>3069.7659999999996</v>
      </c>
      <c r="M318" s="511">
        <v>0</v>
      </c>
      <c r="N318" s="268">
        <v>100</v>
      </c>
      <c r="O318" s="512">
        <f>O317</f>
        <v>5.0333333333333341</v>
      </c>
      <c r="P318" s="513">
        <f>(C318+D318+E318+F318+G318)*O318</f>
        <v>201.33333333333337</v>
      </c>
      <c r="Q318" s="514">
        <f>M318*O318</f>
        <v>0</v>
      </c>
      <c r="R318" s="514">
        <f>N318*O318</f>
        <v>503.33333333333343</v>
      </c>
      <c r="S318" s="187">
        <f>(L318+M318+N318)*O318</f>
        <v>15954.488866666667</v>
      </c>
      <c r="T318" s="841" t="s">
        <v>408</v>
      </c>
      <c r="U318" s="842">
        <f t="shared" si="96"/>
        <v>5.0333333333333341</v>
      </c>
      <c r="V318" s="842">
        <f t="shared" si="96"/>
        <v>201.33333333333337</v>
      </c>
      <c r="W318" s="842">
        <f>IF($T318="RP",SUM(Q318:R318),"")</f>
        <v>503.33333333333343</v>
      </c>
      <c r="X318" s="842" t="str">
        <f t="shared" si="97"/>
        <v/>
      </c>
      <c r="Y318" s="842" t="str">
        <f t="shared" si="97"/>
        <v/>
      </c>
      <c r="Z318" s="984" t="str">
        <f>IF($T318="Rk",SUM(Q318:R318),"")</f>
        <v/>
      </c>
      <c r="AA318" s="1"/>
      <c r="AB318" s="1"/>
      <c r="IQ318" s="86"/>
      <c r="IR318" s="86"/>
      <c r="IS318" s="86"/>
      <c r="IT318" s="86"/>
      <c r="IU318" s="86"/>
      <c r="IV318" s="86"/>
    </row>
    <row r="319" spans="1:256" s="73" customFormat="1" ht="12" thickBot="1">
      <c r="A319" s="1126"/>
      <c r="B319" s="234" t="s">
        <v>284</v>
      </c>
      <c r="C319" s="515">
        <v>0</v>
      </c>
      <c r="D319" s="515">
        <v>3</v>
      </c>
      <c r="E319" s="515">
        <v>25</v>
      </c>
      <c r="F319" s="515">
        <v>3</v>
      </c>
      <c r="G319" s="515">
        <v>5</v>
      </c>
      <c r="H319" s="515">
        <f>SUM(C319:G319)</f>
        <v>36</v>
      </c>
      <c r="I319" s="516"/>
      <c r="J319" s="516"/>
      <c r="K319" s="516"/>
      <c r="L319" s="47">
        <f>((C319*$C$5)+(D319*$D$5)+(E319*$E$5)+(F319*$F$5)+(G319*$G$5))</f>
        <v>2770.5299999999997</v>
      </c>
      <c r="M319" s="517">
        <v>0</v>
      </c>
      <c r="N319" s="494">
        <v>50</v>
      </c>
      <c r="O319" s="512">
        <f>O318</f>
        <v>5.0333333333333341</v>
      </c>
      <c r="P319" s="518">
        <f>(C319+D319+E319+F319+G319)*O319</f>
        <v>181.20000000000002</v>
      </c>
      <c r="Q319" s="514">
        <f>M319*O319</f>
        <v>0</v>
      </c>
      <c r="R319" s="514">
        <f>N319*O319</f>
        <v>251.66666666666671</v>
      </c>
      <c r="S319" s="148">
        <f>(L319+M319+N319)*O319</f>
        <v>14196.667666666668</v>
      </c>
      <c r="T319" s="841" t="s">
        <v>408</v>
      </c>
      <c r="U319" s="842">
        <f t="shared" si="96"/>
        <v>5.0333333333333341</v>
      </c>
      <c r="V319" s="842">
        <f t="shared" si="96"/>
        <v>181.20000000000002</v>
      </c>
      <c r="W319" s="842">
        <f>IF($T319="RP",SUM(Q319:R319),"")</f>
        <v>251.66666666666671</v>
      </c>
      <c r="X319" s="842" t="str">
        <f t="shared" si="97"/>
        <v/>
      </c>
      <c r="Y319" s="842" t="str">
        <f t="shared" si="97"/>
        <v/>
      </c>
      <c r="Z319" s="984" t="str">
        <f>IF($T319="Rk",SUM(Q319:R319),"")</f>
        <v/>
      </c>
      <c r="AA319" s="1"/>
      <c r="AB319" s="1"/>
      <c r="IQ319" s="86"/>
      <c r="IR319" s="86"/>
      <c r="IS319" s="86"/>
      <c r="IT319" s="86"/>
      <c r="IU319" s="86"/>
      <c r="IV319" s="86"/>
    </row>
    <row r="320" spans="1:256" s="73" customFormat="1" ht="12.75" thickTop="1" thickBot="1">
      <c r="A320" s="1068" t="s">
        <v>29</v>
      </c>
      <c r="B320" s="65"/>
      <c r="C320" s="75">
        <f t="shared" ref="C320:H320" si="98">C315+C316+C317+C318+C319</f>
        <v>7</v>
      </c>
      <c r="D320" s="75">
        <f t="shared" si="98"/>
        <v>12</v>
      </c>
      <c r="E320" s="75">
        <f t="shared" si="98"/>
        <v>113</v>
      </c>
      <c r="F320" s="75">
        <f t="shared" si="98"/>
        <v>14</v>
      </c>
      <c r="G320" s="75">
        <f t="shared" si="98"/>
        <v>20</v>
      </c>
      <c r="H320" s="75">
        <f t="shared" si="98"/>
        <v>166</v>
      </c>
      <c r="I320" s="519"/>
      <c r="J320" s="519"/>
      <c r="K320" s="519"/>
      <c r="L320" s="77">
        <f>L315+L316+L317+L318+L319</f>
        <v>12920.935999999998</v>
      </c>
      <c r="M320" s="77">
        <f>M315+M316+M317+M318+M319</f>
        <v>250</v>
      </c>
      <c r="N320" s="69">
        <f>N315+N316+N317+N318+N319</f>
        <v>520</v>
      </c>
      <c r="O320" s="237"/>
      <c r="P320" s="470">
        <f>P315+P316+P317+P318+P319</f>
        <v>835.53333333333353</v>
      </c>
      <c r="Q320" s="77">
        <f>Q315+Q316+Q317+Q318+Q319</f>
        <v>1258.3333333333335</v>
      </c>
      <c r="R320" s="77">
        <f>R315+R316+R317+R318+R319</f>
        <v>2617.3333333333335</v>
      </c>
      <c r="S320" s="68">
        <f>S315+S316+S317+S318+S319</f>
        <v>68911.044533333334</v>
      </c>
      <c r="T320" s="68"/>
      <c r="U320" s="919">
        <f t="shared" ref="U320:Z320" si="99">SUM(U315:U319)</f>
        <v>25.166666666666671</v>
      </c>
      <c r="V320" s="919">
        <f t="shared" si="99"/>
        <v>835.53333333333353</v>
      </c>
      <c r="W320" s="68">
        <f t="shared" si="99"/>
        <v>3875.666666666667</v>
      </c>
      <c r="X320" s="919">
        <f t="shared" si="99"/>
        <v>0</v>
      </c>
      <c r="Y320" s="919">
        <f t="shared" si="99"/>
        <v>0</v>
      </c>
      <c r="Z320" s="988">
        <f t="shared" si="99"/>
        <v>0</v>
      </c>
      <c r="AA320" s="1"/>
      <c r="AB320" s="1"/>
      <c r="IQ320" s="86"/>
      <c r="IR320" s="86"/>
      <c r="IS320" s="86"/>
      <c r="IT320" s="86"/>
      <c r="IU320" s="86"/>
      <c r="IV320" s="86"/>
    </row>
    <row r="321" spans="1:256" s="73" customFormat="1" ht="12" thickTop="1">
      <c r="A321" s="1127" t="s">
        <v>194</v>
      </c>
      <c r="B321" s="520"/>
      <c r="C321" s="521"/>
      <c r="D321" s="521"/>
      <c r="E321" s="521"/>
      <c r="F321" s="521"/>
      <c r="G321" s="521"/>
      <c r="H321" s="521"/>
      <c r="I321" s="522"/>
      <c r="J321" s="522"/>
      <c r="K321" s="522"/>
      <c r="L321" s="523"/>
      <c r="M321" s="523"/>
      <c r="N321" s="524"/>
      <c r="O321" s="525"/>
      <c r="P321" s="526"/>
      <c r="Q321" s="527"/>
      <c r="R321" s="527"/>
      <c r="S321" s="528"/>
      <c r="T321" s="508"/>
      <c r="U321" s="784"/>
      <c r="V321" s="784"/>
      <c r="X321" s="855"/>
      <c r="Y321" s="784"/>
      <c r="Z321" s="973"/>
      <c r="AA321" s="1"/>
      <c r="AB321" s="1"/>
      <c r="IQ321" s="86"/>
      <c r="IR321" s="86"/>
      <c r="IS321" s="86"/>
      <c r="IT321" s="86"/>
      <c r="IU321" s="86"/>
      <c r="IV321" s="86"/>
    </row>
    <row r="322" spans="1:256" s="73" customFormat="1">
      <c r="A322" s="1128"/>
      <c r="B322" s="529" t="s">
        <v>195</v>
      </c>
      <c r="C322" s="388">
        <v>0</v>
      </c>
      <c r="D322" s="388">
        <v>2</v>
      </c>
      <c r="E322" s="388">
        <v>8</v>
      </c>
      <c r="F322" s="388">
        <v>1</v>
      </c>
      <c r="G322" s="388">
        <v>0</v>
      </c>
      <c r="H322" s="45">
        <f>SUM(C322:G322)</f>
        <v>11</v>
      </c>
      <c r="I322" s="46"/>
      <c r="J322" s="46"/>
      <c r="K322" s="46"/>
      <c r="L322" s="47">
        <f>((C322*$C$5)+(D322*$D$5)+(E322*$E$5)+(F322*$F$5))</f>
        <v>834.51199999999983</v>
      </c>
      <c r="M322" s="350">
        <v>0</v>
      </c>
      <c r="N322" s="351">
        <v>0</v>
      </c>
      <c r="O322" s="97">
        <f>0.1*V10</f>
        <v>5.0333333333333341</v>
      </c>
      <c r="P322" s="50">
        <f>(C322+D322+E322+F322)*O322</f>
        <v>55.366666666666674</v>
      </c>
      <c r="Q322" s="127">
        <f>M322*O322</f>
        <v>0</v>
      </c>
      <c r="R322" s="128">
        <f>N322*O322</f>
        <v>0</v>
      </c>
      <c r="S322" s="52">
        <f>(L322+M322+N322)*O322</f>
        <v>4200.3770666666669</v>
      </c>
      <c r="T322" s="841" t="s">
        <v>408</v>
      </c>
      <c r="U322" s="842">
        <f>IF($T322="RP",O322,"")</f>
        <v>5.0333333333333341</v>
      </c>
      <c r="V322" s="842">
        <f>IF($T322="RP",P322,"")</f>
        <v>55.366666666666674</v>
      </c>
      <c r="W322" s="842">
        <f>IF($T322="RP",SUM(Q322:R322),"")</f>
        <v>0</v>
      </c>
      <c r="X322" s="842" t="str">
        <f>IF($T322="RK",O322,"")</f>
        <v/>
      </c>
      <c r="Y322" s="842" t="str">
        <f>IF($T322="RK",P322,"")</f>
        <v/>
      </c>
      <c r="Z322" s="984" t="str">
        <f>IF($T322="Rk",SUM(Q322:R322),"")</f>
        <v/>
      </c>
      <c r="AA322" s="1"/>
      <c r="AB322" s="1"/>
      <c r="IQ322" s="86"/>
      <c r="IR322" s="86"/>
      <c r="IS322" s="86"/>
      <c r="IT322" s="86"/>
      <c r="IU322" s="86"/>
      <c r="IV322" s="86"/>
    </row>
    <row r="323" spans="1:256" s="73" customFormat="1">
      <c r="A323" s="1129"/>
      <c r="B323" s="530" t="s">
        <v>196</v>
      </c>
      <c r="C323" s="531"/>
      <c r="D323" s="531"/>
      <c r="E323" s="531"/>
      <c r="F323" s="531"/>
      <c r="G323" s="531"/>
      <c r="H323" s="532"/>
      <c r="I323" s="533"/>
      <c r="J323" s="533"/>
      <c r="K323" s="533"/>
      <c r="L323" s="534"/>
      <c r="M323" s="535"/>
      <c r="N323" s="536"/>
      <c r="O323" s="537"/>
      <c r="P323" s="538"/>
      <c r="Q323" s="539"/>
      <c r="R323" s="539"/>
      <c r="S323" s="540"/>
      <c r="T323" s="507"/>
      <c r="U323" s="784"/>
      <c r="V323" s="784"/>
      <c r="W323" s="229"/>
      <c r="X323" s="854"/>
      <c r="Y323" s="784"/>
      <c r="Z323" s="973"/>
      <c r="AA323" s="1"/>
      <c r="AB323" s="1"/>
      <c r="AC323" s="229"/>
      <c r="AD323" s="229"/>
      <c r="AE323" s="229"/>
      <c r="AF323" s="229"/>
      <c r="AG323" s="229"/>
      <c r="IQ323" s="86"/>
      <c r="IR323" s="86"/>
      <c r="IS323" s="86"/>
      <c r="IT323" s="86"/>
      <c r="IU323" s="86"/>
      <c r="IV323" s="86"/>
    </row>
    <row r="324" spans="1:256" s="73" customFormat="1">
      <c r="A324" s="1128"/>
      <c r="B324" s="529" t="s">
        <v>197</v>
      </c>
      <c r="C324" s="349">
        <v>1</v>
      </c>
      <c r="D324" s="349">
        <v>6</v>
      </c>
      <c r="E324" s="349">
        <v>32</v>
      </c>
      <c r="F324" s="349">
        <v>0.5</v>
      </c>
      <c r="G324" s="349">
        <v>0</v>
      </c>
      <c r="H324" s="541">
        <f>SUM(C324:G324)</f>
        <v>39.5</v>
      </c>
      <c r="I324" s="46"/>
      <c r="J324" s="46"/>
      <c r="K324" s="46"/>
      <c r="L324" s="542">
        <f>((C324*$C$5)+(D324*$D$5)+(E324*$E$5)+(F324*$F$5))</f>
        <v>3129.2659999999996</v>
      </c>
      <c r="M324" s="350">
        <v>0</v>
      </c>
      <c r="N324" s="543">
        <v>0</v>
      </c>
      <c r="O324" s="544">
        <v>0</v>
      </c>
      <c r="P324" s="545">
        <f>(C324+D324+E324+F324)*O324</f>
        <v>0</v>
      </c>
      <c r="Q324" s="164">
        <f>M324*O324</f>
        <v>0</v>
      </c>
      <c r="R324" s="164">
        <f>N324*O324</f>
        <v>0</v>
      </c>
      <c r="S324" s="142">
        <f>(L324+M324+N324)*O324</f>
        <v>0</v>
      </c>
      <c r="T324" s="841" t="s">
        <v>408</v>
      </c>
      <c r="U324" s="842">
        <f>IF($T324="RP",O324,"")</f>
        <v>0</v>
      </c>
      <c r="V324" s="842">
        <f>IF($T324="RP",P324,"")</f>
        <v>0</v>
      </c>
      <c r="W324" s="842">
        <f>IF($T324="RP",SUM(Q324:R324),"")</f>
        <v>0</v>
      </c>
      <c r="X324" s="842" t="str">
        <f>IF($T324="RK",O324,"")</f>
        <v/>
      </c>
      <c r="Y324" s="842" t="str">
        <f>IF($T324="RK",P324,"")</f>
        <v/>
      </c>
      <c r="Z324" s="984" t="str">
        <f>IF($T324="Rk",SUM(Q324:R324),"")</f>
        <v/>
      </c>
      <c r="AA324" s="1"/>
      <c r="AB324" s="1"/>
      <c r="IQ324" s="86"/>
      <c r="IR324" s="86"/>
      <c r="IS324" s="86"/>
      <c r="IT324" s="86"/>
      <c r="IU324" s="86"/>
      <c r="IV324" s="86"/>
    </row>
    <row r="325" spans="1:256" s="73" customFormat="1">
      <c r="A325" s="1129"/>
      <c r="B325" s="530" t="s">
        <v>198</v>
      </c>
      <c r="C325" s="531"/>
      <c r="D325" s="531"/>
      <c r="E325" s="531"/>
      <c r="F325" s="531"/>
      <c r="G325" s="531"/>
      <c r="H325" s="532"/>
      <c r="I325" s="546"/>
      <c r="J325" s="546"/>
      <c r="K325" s="546"/>
      <c r="L325" s="547"/>
      <c r="M325" s="548"/>
      <c r="N325" s="536"/>
      <c r="O325" s="549"/>
      <c r="P325" s="550"/>
      <c r="Q325" s="551"/>
      <c r="R325" s="551"/>
      <c r="S325" s="540"/>
      <c r="T325" s="507"/>
      <c r="U325" s="784"/>
      <c r="V325" s="784"/>
      <c r="W325" s="229"/>
      <c r="X325" s="854"/>
      <c r="Y325" s="784"/>
      <c r="Z325" s="973"/>
      <c r="AA325" s="1"/>
      <c r="AB325" s="1"/>
      <c r="AC325" s="229"/>
      <c r="AD325" s="229"/>
      <c r="AE325" s="229"/>
      <c r="AF325" s="229"/>
      <c r="AG325" s="229"/>
      <c r="IQ325" s="86"/>
      <c r="IR325" s="86"/>
      <c r="IS325" s="86"/>
      <c r="IT325" s="86"/>
      <c r="IU325" s="86"/>
      <c r="IV325" s="86"/>
    </row>
    <row r="326" spans="1:256" s="73" customFormat="1">
      <c r="A326" s="1128"/>
      <c r="B326" s="529" t="s">
        <v>197</v>
      </c>
      <c r="C326" s="349">
        <v>1</v>
      </c>
      <c r="D326" s="349">
        <v>6</v>
      </c>
      <c r="E326" s="349">
        <v>32</v>
      </c>
      <c r="F326" s="349">
        <v>0.5</v>
      </c>
      <c r="G326" s="349">
        <v>0</v>
      </c>
      <c r="H326" s="541">
        <f>SUM(C326:G326)</f>
        <v>39.5</v>
      </c>
      <c r="I326" s="46"/>
      <c r="J326" s="46"/>
      <c r="K326" s="46"/>
      <c r="L326" s="542">
        <f>((C326*$C$5)+(D326*$D$5)+(E326*$E$5)+(F326*$F$5))</f>
        <v>3129.2659999999996</v>
      </c>
      <c r="M326" s="350">
        <v>0</v>
      </c>
      <c r="N326" s="543">
        <v>0</v>
      </c>
      <c r="O326" s="552">
        <v>0</v>
      </c>
      <c r="P326" s="488">
        <f>(C326+D326+E326+F326)*O326</f>
        <v>0</v>
      </c>
      <c r="Q326" s="171">
        <f>M326*O326</f>
        <v>0</v>
      </c>
      <c r="R326" s="171">
        <f>N326*O326</f>
        <v>0</v>
      </c>
      <c r="S326" s="142">
        <f>(L326+M326+N326)*O326</f>
        <v>0</v>
      </c>
      <c r="T326" s="841" t="s">
        <v>408</v>
      </c>
      <c r="U326" s="842">
        <f>IF($T326="RP",O326,"")</f>
        <v>0</v>
      </c>
      <c r="V326" s="842">
        <f>IF($T326="RP",P326,"")</f>
        <v>0</v>
      </c>
      <c r="W326" s="842">
        <f>IF($T326="RP",SUM(Q326:R326),"")</f>
        <v>0</v>
      </c>
      <c r="X326" s="842" t="str">
        <f>IF($T326="RK",O326,"")</f>
        <v/>
      </c>
      <c r="Y326" s="842" t="str">
        <f>IF($T326="RK",P326,"")</f>
        <v/>
      </c>
      <c r="Z326" s="984" t="str">
        <f>IF($T326="Rk",SUM(Q326:R326),"")</f>
        <v/>
      </c>
      <c r="AA326" s="1"/>
      <c r="AB326" s="1"/>
      <c r="IQ326" s="86"/>
      <c r="IR326" s="86"/>
      <c r="IS326" s="86"/>
      <c r="IT326" s="86"/>
      <c r="IU326" s="86"/>
      <c r="IV326" s="86"/>
    </row>
    <row r="327" spans="1:256" s="73" customFormat="1">
      <c r="A327" s="1130"/>
      <c r="B327" s="553" t="s">
        <v>199</v>
      </c>
      <c r="C327" s="554"/>
      <c r="D327" s="554"/>
      <c r="E327" s="554"/>
      <c r="F327" s="554"/>
      <c r="G327" s="554"/>
      <c r="H327" s="555"/>
      <c r="I327" s="556"/>
      <c r="J327" s="556"/>
      <c r="K327" s="556"/>
      <c r="L327" s="557"/>
      <c r="M327" s="558"/>
      <c r="N327" s="559"/>
      <c r="O327" s="560"/>
      <c r="P327" s="561"/>
      <c r="Q327" s="562"/>
      <c r="R327" s="562"/>
      <c r="S327" s="563"/>
      <c r="T327" s="507"/>
      <c r="U327" s="784"/>
      <c r="V327" s="784"/>
      <c r="W327" s="229"/>
      <c r="X327" s="854"/>
      <c r="Y327" s="784"/>
      <c r="Z327" s="973"/>
      <c r="AA327" s="1"/>
      <c r="AB327" s="1"/>
      <c r="AC327" s="229"/>
      <c r="AD327" s="229"/>
      <c r="AE327" s="229"/>
      <c r="AF327" s="229"/>
      <c r="AG327" s="229"/>
      <c r="IQ327" s="86"/>
      <c r="IR327" s="86"/>
      <c r="IS327" s="86"/>
      <c r="IT327" s="86"/>
      <c r="IU327" s="86"/>
      <c r="IV327" s="86"/>
    </row>
    <row r="328" spans="1:256" s="73" customFormat="1" ht="12" thickBot="1">
      <c r="A328" s="1131"/>
      <c r="B328" s="564" t="s">
        <v>50</v>
      </c>
      <c r="C328" s="349">
        <v>0</v>
      </c>
      <c r="D328" s="349">
        <v>0.5</v>
      </c>
      <c r="E328" s="349">
        <v>4</v>
      </c>
      <c r="F328" s="349">
        <v>1</v>
      </c>
      <c r="G328" s="349">
        <v>0</v>
      </c>
      <c r="H328" s="541">
        <f>SUM(C328:G328)</f>
        <v>5.5</v>
      </c>
      <c r="I328" s="46"/>
      <c r="J328" s="46"/>
      <c r="K328" s="46"/>
      <c r="L328" s="542">
        <f>((C328*$C$5)+(D328*$D$5)+(E328*$E$5)+(F328*$F$5))</f>
        <v>387.88399999999996</v>
      </c>
      <c r="M328" s="350">
        <v>0</v>
      </c>
      <c r="N328" s="543">
        <v>0</v>
      </c>
      <c r="O328" s="97">
        <v>0</v>
      </c>
      <c r="P328" s="50">
        <f>(C328+D328+E328+F328)*O328</f>
        <v>0</v>
      </c>
      <c r="Q328" s="51">
        <f>M328*O328</f>
        <v>0</v>
      </c>
      <c r="R328" s="51">
        <f>N328*O328</f>
        <v>0</v>
      </c>
      <c r="S328" s="52">
        <f>(L328+M328+N328)*O328</f>
        <v>0</v>
      </c>
      <c r="T328" s="841" t="s">
        <v>408</v>
      </c>
      <c r="U328" s="842">
        <f>IF($T328="RP",O328,"")</f>
        <v>0</v>
      </c>
      <c r="V328" s="842">
        <f>IF($T328="RP",P328,"")</f>
        <v>0</v>
      </c>
      <c r="W328" s="842">
        <f>IF($T328="RP",SUM(Q328:R328),"")</f>
        <v>0</v>
      </c>
      <c r="X328" s="842" t="str">
        <f>IF($T328="RK",O328,"")</f>
        <v/>
      </c>
      <c r="Y328" s="842" t="str">
        <f>IF($T328="RK",P328,"")</f>
        <v/>
      </c>
      <c r="Z328" s="984" t="str">
        <f>IF($T328="Rk",SUM(Q328:R328),"")</f>
        <v/>
      </c>
      <c r="AA328" s="1"/>
      <c r="AB328" s="1"/>
      <c r="IQ328" s="86"/>
      <c r="IR328" s="86"/>
      <c r="IS328" s="86"/>
      <c r="IT328" s="86"/>
      <c r="IU328" s="86"/>
      <c r="IV328" s="86"/>
    </row>
    <row r="329" spans="1:256" s="73" customFormat="1" ht="12.75" thickTop="1" thickBot="1">
      <c r="A329" s="1132" t="s">
        <v>29</v>
      </c>
      <c r="B329" s="565"/>
      <c r="C329" s="55">
        <f>SUM(C328:C328)</f>
        <v>0</v>
      </c>
      <c r="D329" s="55">
        <f>SUM(D322:D328)</f>
        <v>14.5</v>
      </c>
      <c r="E329" s="55">
        <f>SUM(E322:E328)</f>
        <v>76</v>
      </c>
      <c r="F329" s="55">
        <f>SUM(F322:F328)</f>
        <v>3</v>
      </c>
      <c r="G329" s="55">
        <f>SUM(G322:G328)</f>
        <v>0</v>
      </c>
      <c r="H329" s="66">
        <f>SUM(H322:H328)</f>
        <v>95.5</v>
      </c>
      <c r="I329" s="566">
        <f>SUM(I328:I328)</f>
        <v>0</v>
      </c>
      <c r="J329" s="566">
        <f>SUM(J328:J328)</f>
        <v>0</v>
      </c>
      <c r="K329" s="566">
        <f>SUM(K328:K328)</f>
        <v>0</v>
      </c>
      <c r="L329" s="567">
        <f>SUM(L322:L328)</f>
        <v>7480.927999999999</v>
      </c>
      <c r="M329" s="57">
        <f>SUM(M322:M328)</f>
        <v>0</v>
      </c>
      <c r="N329" s="69">
        <f>SUM(N322:N328)</f>
        <v>0</v>
      </c>
      <c r="O329" s="236"/>
      <c r="P329" s="568">
        <f>SUM(P322:P328)</f>
        <v>55.366666666666674</v>
      </c>
      <c r="Q329" s="567">
        <f>SUM(Q322:Q328)</f>
        <v>0</v>
      </c>
      <c r="R329" s="567">
        <f>SUM(R322:R328)</f>
        <v>0</v>
      </c>
      <c r="S329" s="57">
        <f>SUM(S322:S328)</f>
        <v>4200.3770666666669</v>
      </c>
      <c r="T329" s="57">
        <f t="shared" ref="T329:Z329" si="100">SUM(T322:T328)</f>
        <v>0</v>
      </c>
      <c r="U329" s="853">
        <f t="shared" si="100"/>
        <v>5.0333333333333341</v>
      </c>
      <c r="V329" s="853">
        <f t="shared" si="100"/>
        <v>55.366666666666674</v>
      </c>
      <c r="W329" s="57">
        <f t="shared" si="100"/>
        <v>0</v>
      </c>
      <c r="X329" s="853">
        <f t="shared" si="100"/>
        <v>0</v>
      </c>
      <c r="Y329" s="853">
        <f t="shared" si="100"/>
        <v>0</v>
      </c>
      <c r="Z329" s="976">
        <f t="shared" si="100"/>
        <v>0</v>
      </c>
      <c r="AA329" s="1"/>
      <c r="AB329" s="1"/>
      <c r="IQ329" s="86"/>
      <c r="IR329" s="86"/>
      <c r="IS329" s="86"/>
      <c r="IT329" s="86"/>
      <c r="IU329" s="86"/>
      <c r="IV329" s="86"/>
    </row>
    <row r="330" spans="1:256" s="73" customFormat="1" ht="12" thickTop="1">
      <c r="A330" s="1133" t="s">
        <v>200</v>
      </c>
      <c r="B330" s="363"/>
      <c r="C330" s="212"/>
      <c r="D330" s="212"/>
      <c r="E330" s="212"/>
      <c r="F330" s="486"/>
      <c r="G330" s="365"/>
      <c r="H330" s="365"/>
      <c r="I330" s="366"/>
      <c r="J330" s="366"/>
      <c r="K330" s="366"/>
      <c r="L330" s="367"/>
      <c r="M330" s="367"/>
      <c r="N330" s="285"/>
      <c r="O330" s="140"/>
      <c r="P330" s="140"/>
      <c r="Q330" s="141"/>
      <c r="R330" s="141"/>
      <c r="S330" s="142"/>
      <c r="T330" s="569"/>
      <c r="U330" s="784"/>
      <c r="V330" s="784"/>
      <c r="W330" s="219"/>
      <c r="X330" s="856"/>
      <c r="Y330" s="784"/>
      <c r="Z330" s="973"/>
      <c r="AA330" s="1"/>
      <c r="AB330" s="1"/>
      <c r="AC330" s="219"/>
      <c r="AD330" s="219"/>
      <c r="AE330" s="219"/>
      <c r="AF330" s="219"/>
      <c r="AG330" s="219"/>
      <c r="IQ330" s="86"/>
      <c r="IR330" s="86"/>
      <c r="IS330" s="86"/>
      <c r="IT330" s="86"/>
      <c r="IU330" s="86"/>
      <c r="IV330" s="86"/>
    </row>
    <row r="331" spans="1:256" s="73" customFormat="1">
      <c r="A331" s="1134"/>
      <c r="B331" s="570" t="s">
        <v>201</v>
      </c>
      <c r="C331" s="111"/>
      <c r="D331" s="111"/>
      <c r="E331" s="111"/>
      <c r="F331" s="111"/>
      <c r="G331" s="111"/>
      <c r="H331" s="131"/>
      <c r="I331" s="81"/>
      <c r="J331" s="81"/>
      <c r="K331" s="81"/>
      <c r="L331" s="82"/>
      <c r="M331" s="113"/>
      <c r="N331" s="265"/>
      <c r="O331" s="83"/>
      <c r="P331" s="518"/>
      <c r="Q331" s="164"/>
      <c r="R331" s="164"/>
      <c r="S331" s="161"/>
      <c r="T331" s="508"/>
      <c r="U331" s="784"/>
      <c r="V331" s="784"/>
      <c r="X331" s="855"/>
      <c r="Y331" s="784"/>
      <c r="Z331" s="973"/>
      <c r="AA331" s="1"/>
      <c r="AB331" s="1"/>
      <c r="IQ331" s="86"/>
      <c r="IR331" s="86"/>
      <c r="IS331" s="86"/>
      <c r="IT331" s="86"/>
      <c r="IU331" s="86"/>
      <c r="IV331" s="86"/>
    </row>
    <row r="332" spans="1:256" s="73" customFormat="1" ht="12" thickBot="1">
      <c r="A332" s="1134"/>
      <c r="B332" s="570" t="s">
        <v>202</v>
      </c>
      <c r="C332" s="111">
        <v>0</v>
      </c>
      <c r="D332" s="111">
        <v>0.25</v>
      </c>
      <c r="E332" s="111">
        <v>2</v>
      </c>
      <c r="F332" s="111">
        <v>0.5</v>
      </c>
      <c r="G332" s="111">
        <v>0</v>
      </c>
      <c r="H332" s="131">
        <f>SUM(C332:G332)</f>
        <v>2.75</v>
      </c>
      <c r="I332" s="81"/>
      <c r="J332" s="81"/>
      <c r="K332" s="81"/>
      <c r="L332" s="571">
        <f>((C332*$C$5)+(D332*$D$5)+(E332*$E$5)+(F332*$F$5))</f>
        <v>193.94199999999998</v>
      </c>
      <c r="M332" s="113">
        <v>0</v>
      </c>
      <c r="N332" s="265">
        <v>8</v>
      </c>
      <c r="O332" s="83">
        <f>0.25*P10</f>
        <v>16</v>
      </c>
      <c r="P332" s="182">
        <f>(C332+D332+E332+F332)*O332</f>
        <v>44</v>
      </c>
      <c r="Q332" s="51">
        <f>M332*O332</f>
        <v>0</v>
      </c>
      <c r="R332" s="572">
        <f>N332*O332</f>
        <v>128</v>
      </c>
      <c r="S332" s="183">
        <f>(L332+M332+N332)*O332</f>
        <v>3231.0719999999997</v>
      </c>
      <c r="T332" s="841" t="s">
        <v>408</v>
      </c>
      <c r="U332" s="842">
        <f>IF($T332="RP",O332,"")</f>
        <v>16</v>
      </c>
      <c r="V332" s="842">
        <f>IF($T332="RP",P332,"")</f>
        <v>44</v>
      </c>
      <c r="W332" s="842">
        <f>IF($T332="RP",SUM(Q332:R332),"")</f>
        <v>128</v>
      </c>
      <c r="X332" s="842" t="str">
        <f>IF($T332="RK",O332,"")</f>
        <v/>
      </c>
      <c r="Y332" s="842" t="str">
        <f>IF($T332="RK",P332,"")</f>
        <v/>
      </c>
      <c r="Z332" s="984" t="str">
        <f>IF($T332="Rk",SUM(Q332:R332),"")</f>
        <v/>
      </c>
      <c r="AA332" s="1"/>
      <c r="AB332" s="1"/>
      <c r="AC332" s="219"/>
      <c r="AD332" s="219"/>
      <c r="AE332" s="219"/>
      <c r="AF332" s="219"/>
      <c r="AG332" s="219"/>
      <c r="IQ332" s="86"/>
      <c r="IR332" s="86"/>
      <c r="IS332" s="86"/>
      <c r="IT332" s="86"/>
      <c r="IU332" s="86"/>
      <c r="IV332" s="86"/>
    </row>
    <row r="333" spans="1:256" s="73" customFormat="1" ht="12.75" thickTop="1" thickBot="1">
      <c r="A333" s="1132" t="s">
        <v>29</v>
      </c>
      <c r="B333" s="565"/>
      <c r="C333" s="573">
        <f t="shared" ref="C333:N333" si="101">SUM(C332:C332)</f>
        <v>0</v>
      </c>
      <c r="D333" s="573">
        <f t="shared" si="101"/>
        <v>0.25</v>
      </c>
      <c r="E333" s="573">
        <f t="shared" si="101"/>
        <v>2</v>
      </c>
      <c r="F333" s="573">
        <f t="shared" si="101"/>
        <v>0.5</v>
      </c>
      <c r="G333" s="573">
        <f t="shared" si="101"/>
        <v>0</v>
      </c>
      <c r="H333" s="573">
        <f t="shared" si="101"/>
        <v>2.75</v>
      </c>
      <c r="I333" s="566">
        <f t="shared" si="101"/>
        <v>0</v>
      </c>
      <c r="J333" s="566">
        <f t="shared" si="101"/>
        <v>0</v>
      </c>
      <c r="K333" s="566">
        <f t="shared" si="101"/>
        <v>0</v>
      </c>
      <c r="L333" s="57">
        <f t="shared" si="101"/>
        <v>193.94199999999998</v>
      </c>
      <c r="M333" s="567">
        <f t="shared" si="101"/>
        <v>0</v>
      </c>
      <c r="N333" s="58">
        <f t="shared" si="101"/>
        <v>8</v>
      </c>
      <c r="O333" s="70"/>
      <c r="P333" s="574">
        <f>SUM(P332:P332)</f>
        <v>44</v>
      </c>
      <c r="Q333" s="575">
        <f>SUM(Q332:Q332)</f>
        <v>0</v>
      </c>
      <c r="R333" s="575">
        <f>SUM(R332:R332)</f>
        <v>128</v>
      </c>
      <c r="S333" s="62">
        <f>SUM(S332:S332)</f>
        <v>3231.0719999999997</v>
      </c>
      <c r="T333" s="62"/>
      <c r="U333" s="849">
        <f t="shared" ref="U333:Z333" si="102">SUM(U332:U332)</f>
        <v>16</v>
      </c>
      <c r="V333" s="849">
        <f t="shared" si="102"/>
        <v>44</v>
      </c>
      <c r="W333" s="62">
        <f t="shared" si="102"/>
        <v>128</v>
      </c>
      <c r="X333" s="849">
        <f t="shared" si="102"/>
        <v>0</v>
      </c>
      <c r="Y333" s="849">
        <f t="shared" si="102"/>
        <v>0</v>
      </c>
      <c r="Z333" s="976">
        <f t="shared" si="102"/>
        <v>0</v>
      </c>
      <c r="AA333" s="1"/>
      <c r="AB333" s="1"/>
      <c r="IQ333" s="86"/>
      <c r="IR333" s="86"/>
      <c r="IS333" s="86"/>
      <c r="IT333" s="86"/>
      <c r="IU333" s="86"/>
      <c r="IV333" s="86"/>
    </row>
    <row r="334" spans="1:256" s="73" customFormat="1" ht="12" thickTop="1">
      <c r="A334" s="1135" t="s">
        <v>203</v>
      </c>
      <c r="B334" s="576"/>
      <c r="C334" s="403"/>
      <c r="D334" s="403"/>
      <c r="E334" s="403"/>
      <c r="F334" s="403"/>
      <c r="G334" s="403"/>
      <c r="H334" s="403"/>
      <c r="I334" s="404"/>
      <c r="J334" s="404"/>
      <c r="K334" s="404"/>
      <c r="L334" s="405"/>
      <c r="M334" s="405"/>
      <c r="N334" s="406"/>
      <c r="O334" s="407"/>
      <c r="P334" s="408"/>
      <c r="Q334" s="409"/>
      <c r="R334" s="409"/>
      <c r="S334" s="410"/>
      <c r="T334" s="508"/>
      <c r="U334" s="784"/>
      <c r="V334" s="784"/>
      <c r="X334" s="855"/>
      <c r="Y334" s="784"/>
      <c r="Z334" s="973"/>
      <c r="AA334" s="1"/>
      <c r="AB334" s="1"/>
      <c r="IQ334" s="86"/>
      <c r="IR334" s="86"/>
      <c r="IS334" s="86"/>
      <c r="IT334" s="86"/>
      <c r="IU334" s="86"/>
      <c r="IV334" s="86"/>
    </row>
    <row r="335" spans="1:256" s="73" customFormat="1">
      <c r="A335" s="1134"/>
      <c r="B335" s="570" t="s">
        <v>204</v>
      </c>
      <c r="C335" s="476"/>
      <c r="D335" s="476"/>
      <c r="E335" s="476"/>
      <c r="F335" s="476"/>
      <c r="G335" s="476"/>
      <c r="H335" s="111"/>
      <c r="I335" s="112"/>
      <c r="J335" s="112"/>
      <c r="K335" s="112"/>
      <c r="L335" s="113"/>
      <c r="M335" s="304"/>
      <c r="N335" s="305"/>
      <c r="O335" s="83"/>
      <c r="P335" s="182"/>
      <c r="Q335" s="51"/>
      <c r="R335" s="51"/>
      <c r="S335" s="183"/>
      <c r="T335" s="508"/>
      <c r="U335" s="784"/>
      <c r="V335" s="784"/>
      <c r="X335" s="855"/>
      <c r="Y335" s="784"/>
      <c r="Z335" s="973"/>
      <c r="AA335" s="1"/>
      <c r="AB335" s="1"/>
      <c r="IQ335" s="86"/>
      <c r="IR335" s="86"/>
      <c r="IS335" s="86"/>
      <c r="IT335" s="86"/>
      <c r="IU335" s="86"/>
      <c r="IV335" s="86"/>
    </row>
    <row r="336" spans="1:256" s="73" customFormat="1" ht="12" thickBot="1">
      <c r="A336" s="1134"/>
      <c r="B336" s="570" t="s">
        <v>97</v>
      </c>
      <c r="C336" s="476">
        <f>C335</f>
        <v>0</v>
      </c>
      <c r="D336" s="476">
        <v>0.25</v>
      </c>
      <c r="E336" s="476">
        <v>2</v>
      </c>
      <c r="F336" s="476">
        <v>0.5</v>
      </c>
      <c r="G336" s="476">
        <v>0</v>
      </c>
      <c r="H336" s="111">
        <f>SUM(C336:G336)</f>
        <v>2.75</v>
      </c>
      <c r="I336" s="577">
        <f>I335</f>
        <v>0</v>
      </c>
      <c r="J336" s="577">
        <f>J335</f>
        <v>0</v>
      </c>
      <c r="K336" s="577">
        <f>K335</f>
        <v>0</v>
      </c>
      <c r="L336" s="113">
        <f>((C336*$C$5)+(D336*$D$5)+(E336*$E$5)+(F336*$F$5))</f>
        <v>193.94199999999998</v>
      </c>
      <c r="M336" s="571">
        <v>0</v>
      </c>
      <c r="N336" s="493">
        <v>8</v>
      </c>
      <c r="O336" s="83">
        <f>0.25*P10</f>
        <v>16</v>
      </c>
      <c r="P336" s="182">
        <f>(C336+D336+E336+F336)*O336</f>
        <v>44</v>
      </c>
      <c r="Q336" s="51">
        <f>M336*O336</f>
        <v>0</v>
      </c>
      <c r="R336" s="572">
        <f>N336*O336</f>
        <v>128</v>
      </c>
      <c r="S336" s="183">
        <f>(L336+M336+N336)*O336</f>
        <v>3231.0719999999997</v>
      </c>
      <c r="T336" s="841" t="s">
        <v>408</v>
      </c>
      <c r="U336" s="842">
        <f>IF($T336="RP",O336,"")</f>
        <v>16</v>
      </c>
      <c r="V336" s="842">
        <f>IF($T336="RP",P336,"")</f>
        <v>44</v>
      </c>
      <c r="W336" s="842">
        <f>IF($T336="RP",SUM(Q336:R336),"")</f>
        <v>128</v>
      </c>
      <c r="X336" s="842" t="str">
        <f>IF($T336="RK",O336,"")</f>
        <v/>
      </c>
      <c r="Y336" s="842" t="str">
        <f>IF($T336="RK",P336,"")</f>
        <v/>
      </c>
      <c r="Z336" s="984" t="str">
        <f>IF($T336="Rk",SUM(Q336:R336),"")</f>
        <v/>
      </c>
      <c r="AA336" s="1"/>
      <c r="AB336" s="1"/>
      <c r="AC336" s="219"/>
      <c r="AD336" s="219"/>
      <c r="AE336" s="219"/>
      <c r="AF336" s="219"/>
      <c r="AG336" s="219"/>
      <c r="IQ336" s="86"/>
      <c r="IR336" s="86"/>
      <c r="IS336" s="86"/>
      <c r="IT336" s="86"/>
      <c r="IU336" s="86"/>
      <c r="IV336" s="86"/>
    </row>
    <row r="337" spans="1:256" s="73" customFormat="1" ht="12.75" thickTop="1" thickBot="1">
      <c r="A337" s="1132" t="s">
        <v>29</v>
      </c>
      <c r="B337" s="565"/>
      <c r="C337" s="573">
        <f t="shared" ref="C337:N337" si="103">SUM(C336:C336)</f>
        <v>0</v>
      </c>
      <c r="D337" s="573">
        <f t="shared" si="103"/>
        <v>0.25</v>
      </c>
      <c r="E337" s="573">
        <f t="shared" si="103"/>
        <v>2</v>
      </c>
      <c r="F337" s="573">
        <f t="shared" si="103"/>
        <v>0.5</v>
      </c>
      <c r="G337" s="573">
        <f t="shared" si="103"/>
        <v>0</v>
      </c>
      <c r="H337" s="573">
        <f t="shared" si="103"/>
        <v>2.75</v>
      </c>
      <c r="I337" s="566">
        <f t="shared" si="103"/>
        <v>0</v>
      </c>
      <c r="J337" s="566">
        <f t="shared" si="103"/>
        <v>0</v>
      </c>
      <c r="K337" s="566">
        <f t="shared" si="103"/>
        <v>0</v>
      </c>
      <c r="L337" s="57">
        <f t="shared" si="103"/>
        <v>193.94199999999998</v>
      </c>
      <c r="M337" s="567">
        <f t="shared" si="103"/>
        <v>0</v>
      </c>
      <c r="N337" s="58">
        <f t="shared" si="103"/>
        <v>8</v>
      </c>
      <c r="O337" s="70"/>
      <c r="P337" s="574">
        <f>SUM(P336:P336)</f>
        <v>44</v>
      </c>
      <c r="Q337" s="575">
        <f>SUM(Q336:Q336)</f>
        <v>0</v>
      </c>
      <c r="R337" s="575">
        <f>SUM(R336:R336)</f>
        <v>128</v>
      </c>
      <c r="S337" s="62">
        <f>SUM(S336:S336)</f>
        <v>3231.0719999999997</v>
      </c>
      <c r="T337" s="62"/>
      <c r="U337" s="849">
        <f t="shared" ref="U337:Z337" si="104">SUM(U336:U336)</f>
        <v>16</v>
      </c>
      <c r="V337" s="849">
        <f t="shared" si="104"/>
        <v>44</v>
      </c>
      <c r="W337" s="62">
        <f t="shared" si="104"/>
        <v>128</v>
      </c>
      <c r="X337" s="849">
        <f t="shared" si="104"/>
        <v>0</v>
      </c>
      <c r="Y337" s="849">
        <f t="shared" si="104"/>
        <v>0</v>
      </c>
      <c r="Z337" s="976">
        <f t="shared" si="104"/>
        <v>0</v>
      </c>
      <c r="AA337" s="1"/>
      <c r="AB337" s="1"/>
      <c r="IQ337" s="86"/>
      <c r="IR337" s="86"/>
      <c r="IS337" s="86"/>
      <c r="IT337" s="86"/>
      <c r="IU337" s="86"/>
      <c r="IV337" s="86"/>
    </row>
    <row r="338" spans="1:256" s="73" customFormat="1" ht="12" thickTop="1">
      <c r="A338" s="1133" t="s">
        <v>205</v>
      </c>
      <c r="B338" s="363"/>
      <c r="C338" s="135"/>
      <c r="D338" s="135"/>
      <c r="E338" s="135"/>
      <c r="F338" s="135"/>
      <c r="G338" s="135"/>
      <c r="H338" s="135"/>
      <c r="I338" s="136"/>
      <c r="J338" s="136"/>
      <c r="K338" s="136"/>
      <c r="L338" s="137"/>
      <c r="M338" s="137"/>
      <c r="N338" s="285"/>
      <c r="O338" s="140"/>
      <c r="P338" s="140"/>
      <c r="Q338" s="141"/>
      <c r="R338" s="141"/>
      <c r="S338" s="142"/>
      <c r="T338" s="508"/>
      <c r="U338" s="784"/>
      <c r="V338" s="784"/>
      <c r="X338" s="855"/>
      <c r="Y338" s="784"/>
      <c r="Z338" s="973"/>
      <c r="AA338" s="1"/>
      <c r="AB338" s="1"/>
      <c r="IQ338" s="86"/>
      <c r="IR338" s="86"/>
      <c r="IS338" s="86"/>
      <c r="IT338" s="86"/>
      <c r="IU338" s="86"/>
      <c r="IV338" s="86"/>
    </row>
    <row r="339" spans="1:256" s="73" customFormat="1">
      <c r="A339" s="1130"/>
      <c r="B339" s="340" t="s">
        <v>206</v>
      </c>
      <c r="C339" s="131"/>
      <c r="D339" s="131"/>
      <c r="E339" s="131"/>
      <c r="F339" s="131"/>
      <c r="G339" s="131"/>
      <c r="H339" s="131"/>
      <c r="I339" s="132"/>
      <c r="J339" s="132"/>
      <c r="K339" s="132"/>
      <c r="L339" s="161"/>
      <c r="M339" s="161"/>
      <c r="N339" s="265"/>
      <c r="O339" s="163"/>
      <c r="P339" s="163"/>
      <c r="Q339" s="164"/>
      <c r="R339" s="164"/>
      <c r="S339" s="161"/>
      <c r="T339" s="508"/>
      <c r="U339" s="784"/>
      <c r="V339" s="784"/>
      <c r="X339" s="855"/>
      <c r="Y339" s="784"/>
      <c r="Z339" s="973"/>
      <c r="AA339" s="1"/>
      <c r="AB339" s="1"/>
      <c r="IQ339" s="86"/>
      <c r="IR339" s="86"/>
      <c r="IS339" s="86"/>
      <c r="IT339" s="86"/>
      <c r="IU339" s="86"/>
      <c r="IV339" s="86"/>
    </row>
    <row r="340" spans="1:256" s="73" customFormat="1" ht="12" thickBot="1">
      <c r="A340" s="1136"/>
      <c r="B340" s="446" t="s">
        <v>207</v>
      </c>
      <c r="C340" s="167">
        <v>0</v>
      </c>
      <c r="D340" s="167">
        <v>0.25</v>
      </c>
      <c r="E340" s="167">
        <v>2</v>
      </c>
      <c r="F340" s="167">
        <v>0.5</v>
      </c>
      <c r="G340" s="167">
        <v>0</v>
      </c>
      <c r="H340" s="167">
        <f>SUM(C340:G340)</f>
        <v>2.75</v>
      </c>
      <c r="I340" s="168"/>
      <c r="J340" s="168"/>
      <c r="K340" s="168"/>
      <c r="L340" s="142">
        <f>((C340*$C$5)+(D340*$D$5)+(E340*$E$5)+(F340*$F$5))</f>
        <v>193.94199999999998</v>
      </c>
      <c r="M340" s="142">
        <v>0</v>
      </c>
      <c r="N340" s="285">
        <v>8</v>
      </c>
      <c r="O340" s="170">
        <f>0.1*P9</f>
        <v>3.2</v>
      </c>
      <c r="P340" s="170">
        <f>(C340+D340+E340+F340)*O340</f>
        <v>8.8000000000000007</v>
      </c>
      <c r="Q340" s="171">
        <f>M340*O340</f>
        <v>0</v>
      </c>
      <c r="R340" s="171">
        <f>N340*O340</f>
        <v>25.6</v>
      </c>
      <c r="S340" s="142">
        <f>(L340+M340+N340)*O340</f>
        <v>646.21439999999996</v>
      </c>
      <c r="T340" s="841" t="s">
        <v>408</v>
      </c>
      <c r="U340" s="842">
        <f>IF($T340="RP",O340,"")</f>
        <v>3.2</v>
      </c>
      <c r="V340" s="842">
        <f>IF($T340="RP",P340,"")</f>
        <v>8.8000000000000007</v>
      </c>
      <c r="W340" s="842">
        <f>IF($T340="RP",SUM(Q340:R340),"")</f>
        <v>25.6</v>
      </c>
      <c r="X340" s="842" t="str">
        <f>IF($T340="RK",O340,"")</f>
        <v/>
      </c>
      <c r="Y340" s="842" t="str">
        <f>IF($T340="RK",P340,"")</f>
        <v/>
      </c>
      <c r="Z340" s="984" t="str">
        <f>IF($T340="Rk",SUM(Q340:R340),"")</f>
        <v/>
      </c>
      <c r="AA340" s="1"/>
      <c r="AB340" s="1"/>
      <c r="IQ340" s="86"/>
      <c r="IR340" s="86"/>
      <c r="IS340" s="86"/>
      <c r="IT340" s="86"/>
      <c r="IU340" s="86"/>
      <c r="IV340" s="86"/>
    </row>
    <row r="341" spans="1:256" s="73" customFormat="1" ht="12.75" thickTop="1" thickBot="1">
      <c r="A341" s="1137" t="s">
        <v>29</v>
      </c>
      <c r="B341" s="421"/>
      <c r="C341" s="173">
        <f>SUM(C339:C340)</f>
        <v>0</v>
      </c>
      <c r="D341" s="173">
        <f t="shared" ref="D341:N341" si="105">SUM(D339:D340)</f>
        <v>0.25</v>
      </c>
      <c r="E341" s="173">
        <f t="shared" si="105"/>
        <v>2</v>
      </c>
      <c r="F341" s="173">
        <f t="shared" si="105"/>
        <v>0.5</v>
      </c>
      <c r="G341" s="173">
        <f t="shared" si="105"/>
        <v>0</v>
      </c>
      <c r="H341" s="173">
        <f t="shared" si="105"/>
        <v>2.75</v>
      </c>
      <c r="I341" s="174">
        <f t="shared" si="105"/>
        <v>0</v>
      </c>
      <c r="J341" s="174">
        <f t="shared" si="105"/>
        <v>0</v>
      </c>
      <c r="K341" s="174">
        <f t="shared" si="105"/>
        <v>0</v>
      </c>
      <c r="L341" s="72">
        <f t="shared" si="105"/>
        <v>193.94199999999998</v>
      </c>
      <c r="M341" s="72">
        <f t="shared" si="105"/>
        <v>0</v>
      </c>
      <c r="N341" s="69">
        <f t="shared" si="105"/>
        <v>8</v>
      </c>
      <c r="O341" s="178"/>
      <c r="P341" s="178">
        <f>SUM(P339:P340)</f>
        <v>8.8000000000000007</v>
      </c>
      <c r="Q341" s="179">
        <f>SUM(Q339:Q340)</f>
        <v>0</v>
      </c>
      <c r="R341" s="179">
        <f>SUM(R339:R340)</f>
        <v>25.6</v>
      </c>
      <c r="S341" s="72">
        <f>SUM(S339:S340)</f>
        <v>646.21439999999996</v>
      </c>
      <c r="T341" s="72"/>
      <c r="U341" s="850">
        <f t="shared" ref="U341:Z341" si="106">SUM(U339:U340)</f>
        <v>3.2</v>
      </c>
      <c r="V341" s="850">
        <f t="shared" si="106"/>
        <v>8.8000000000000007</v>
      </c>
      <c r="W341" s="72">
        <f t="shared" si="106"/>
        <v>25.6</v>
      </c>
      <c r="X341" s="850">
        <f t="shared" si="106"/>
        <v>0</v>
      </c>
      <c r="Y341" s="850">
        <f t="shared" si="106"/>
        <v>0</v>
      </c>
      <c r="Z341" s="988">
        <f t="shared" si="106"/>
        <v>0</v>
      </c>
      <c r="AA341" s="1"/>
      <c r="AB341" s="1"/>
      <c r="IQ341" s="86"/>
      <c r="IR341" s="86"/>
      <c r="IS341" s="86"/>
      <c r="IT341" s="86"/>
      <c r="IU341" s="86"/>
      <c r="IV341" s="86"/>
    </row>
    <row r="342" spans="1:256" s="73" customFormat="1" ht="12" thickTop="1">
      <c r="A342" s="1133" t="s">
        <v>208</v>
      </c>
      <c r="B342" s="219"/>
      <c r="C342" s="135"/>
      <c r="D342" s="135"/>
      <c r="E342" s="135"/>
      <c r="F342" s="135"/>
      <c r="G342" s="135"/>
      <c r="H342" s="135"/>
      <c r="I342" s="136"/>
      <c r="J342" s="136"/>
      <c r="K342" s="136"/>
      <c r="L342" s="137"/>
      <c r="M342" s="137"/>
      <c r="N342" s="285"/>
      <c r="O342" s="140"/>
      <c r="P342" s="140"/>
      <c r="Q342" s="141"/>
      <c r="R342" s="141"/>
      <c r="S342" s="142"/>
      <c r="T342" s="569"/>
      <c r="U342" s="784"/>
      <c r="V342" s="784"/>
      <c r="W342" s="219"/>
      <c r="X342" s="856"/>
      <c r="Y342" s="784"/>
      <c r="Z342" s="973"/>
      <c r="AA342" s="1"/>
      <c r="AB342" s="1"/>
      <c r="AC342" s="219"/>
      <c r="AD342" s="219"/>
      <c r="AE342" s="219"/>
      <c r="AF342" s="219"/>
      <c r="AG342" s="219"/>
      <c r="IQ342" s="86"/>
      <c r="IR342" s="86"/>
      <c r="IS342" s="86"/>
      <c r="IT342" s="86"/>
      <c r="IU342" s="86"/>
      <c r="IV342" s="86"/>
    </row>
    <row r="343" spans="1:256" s="73" customFormat="1" ht="12" thickBot="1">
      <c r="A343" s="1133"/>
      <c r="B343" s="446" t="s">
        <v>209</v>
      </c>
      <c r="C343" s="167">
        <v>0</v>
      </c>
      <c r="D343" s="167">
        <v>0.25</v>
      </c>
      <c r="E343" s="167">
        <v>2</v>
      </c>
      <c r="F343" s="167">
        <v>0.5</v>
      </c>
      <c r="G343" s="167">
        <v>0</v>
      </c>
      <c r="H343" s="167">
        <f>SUM(C343:G343)</f>
        <v>2.75</v>
      </c>
      <c r="I343" s="168"/>
      <c r="J343" s="168"/>
      <c r="K343" s="168"/>
      <c r="L343" s="142">
        <f>((C343*$C$5)+(D343*$D$5)+(E343*$E$5)+(F343*$F$5))</f>
        <v>193.94199999999998</v>
      </c>
      <c r="M343" s="142">
        <v>0</v>
      </c>
      <c r="N343" s="285">
        <v>8</v>
      </c>
      <c r="O343" s="170">
        <f>0.01*P10</f>
        <v>0.64</v>
      </c>
      <c r="P343" s="170">
        <f>(C343+D343+E343+F343)*O343</f>
        <v>1.76</v>
      </c>
      <c r="Q343" s="171">
        <f>M343*O343</f>
        <v>0</v>
      </c>
      <c r="R343" s="171">
        <f>N343*O343</f>
        <v>5.12</v>
      </c>
      <c r="S343" s="142">
        <f>(L343+M343+N343)*O343</f>
        <v>129.24287999999999</v>
      </c>
      <c r="T343" s="841" t="s">
        <v>408</v>
      </c>
      <c r="U343" s="842">
        <f>IF($T343="RP",O343,"")</f>
        <v>0.64</v>
      </c>
      <c r="V343" s="842">
        <f>IF($T343="RP",P343,"")</f>
        <v>1.76</v>
      </c>
      <c r="W343" s="842">
        <f>IF($T343="RP",SUM(Q343:R343),"")</f>
        <v>5.12</v>
      </c>
      <c r="X343" s="842" t="str">
        <f>IF($T343="RK",O343,"")</f>
        <v/>
      </c>
      <c r="Y343" s="842" t="str">
        <f>IF($T343="RK",P343,"")</f>
        <v/>
      </c>
      <c r="Z343" s="984" t="str">
        <f>IF($T343="Rk",SUM(Q343:R343),"")</f>
        <v/>
      </c>
      <c r="AA343" s="1"/>
      <c r="AB343" s="1"/>
      <c r="IQ343" s="86"/>
      <c r="IR343" s="86"/>
      <c r="IS343" s="86"/>
      <c r="IT343" s="86"/>
      <c r="IU343" s="86"/>
      <c r="IV343" s="86"/>
    </row>
    <row r="344" spans="1:256" s="73" customFormat="1" ht="12.75" thickTop="1" thickBot="1">
      <c r="A344" s="1132" t="s">
        <v>29</v>
      </c>
      <c r="B344" s="421"/>
      <c r="C344" s="173">
        <f t="shared" ref="C344:N344" si="107">SUM(C343:C343)</f>
        <v>0</v>
      </c>
      <c r="D344" s="173">
        <f t="shared" si="107"/>
        <v>0.25</v>
      </c>
      <c r="E344" s="173">
        <f t="shared" si="107"/>
        <v>2</v>
      </c>
      <c r="F344" s="173">
        <f t="shared" si="107"/>
        <v>0.5</v>
      </c>
      <c r="G344" s="173">
        <f t="shared" si="107"/>
        <v>0</v>
      </c>
      <c r="H344" s="173">
        <f t="shared" si="107"/>
        <v>2.75</v>
      </c>
      <c r="I344" s="174">
        <f t="shared" si="107"/>
        <v>0</v>
      </c>
      <c r="J344" s="174">
        <f t="shared" si="107"/>
        <v>0</v>
      </c>
      <c r="K344" s="174">
        <f t="shared" si="107"/>
        <v>0</v>
      </c>
      <c r="L344" s="72">
        <f>SUM(L342:L343)</f>
        <v>193.94199999999998</v>
      </c>
      <c r="M344" s="72">
        <f t="shared" si="107"/>
        <v>0</v>
      </c>
      <c r="N344" s="69">
        <f t="shared" si="107"/>
        <v>8</v>
      </c>
      <c r="O344" s="178"/>
      <c r="P344" s="178">
        <f>SUM(P343:P343)</f>
        <v>1.76</v>
      </c>
      <c r="Q344" s="179">
        <f>SUM(Q343:Q343)</f>
        <v>0</v>
      </c>
      <c r="R344" s="179">
        <f>SUM(R343:R343)</f>
        <v>5.12</v>
      </c>
      <c r="S344" s="72">
        <f>SUM(S343:S343)</f>
        <v>129.24287999999999</v>
      </c>
      <c r="T344" s="72"/>
      <c r="U344" s="850">
        <f t="shared" ref="U344:Z344" si="108">SUM(U343:U343)</f>
        <v>0.64</v>
      </c>
      <c r="V344" s="850">
        <f t="shared" si="108"/>
        <v>1.76</v>
      </c>
      <c r="W344" s="72">
        <f t="shared" si="108"/>
        <v>5.12</v>
      </c>
      <c r="X344" s="850">
        <f t="shared" si="108"/>
        <v>0</v>
      </c>
      <c r="Y344" s="850">
        <f t="shared" si="108"/>
        <v>0</v>
      </c>
      <c r="Z344" s="988">
        <f t="shared" si="108"/>
        <v>0</v>
      </c>
      <c r="AA344" s="1"/>
      <c r="AB344" s="1"/>
      <c r="IQ344" s="86"/>
      <c r="IR344" s="86"/>
      <c r="IS344" s="86"/>
      <c r="IT344" s="86"/>
      <c r="IU344" s="86"/>
      <c r="IV344" s="86"/>
    </row>
    <row r="345" spans="1:256" s="73" customFormat="1" ht="12.75" thickTop="1" thickBot="1">
      <c r="A345" s="1132"/>
      <c r="B345" s="565"/>
      <c r="C345" s="66"/>
      <c r="D345" s="66"/>
      <c r="E345" s="66"/>
      <c r="F345" s="66"/>
      <c r="G345" s="66"/>
      <c r="H345" s="66"/>
      <c r="I345" s="67"/>
      <c r="J345" s="67"/>
      <c r="K345" s="67"/>
      <c r="L345" s="68"/>
      <c r="M345" s="68"/>
      <c r="N345" s="69"/>
      <c r="O345" s="70"/>
      <c r="P345" s="70"/>
      <c r="Q345" s="71"/>
      <c r="R345" s="71"/>
      <c r="S345" s="72"/>
      <c r="T345" s="508"/>
      <c r="U345" s="784"/>
      <c r="V345" s="784"/>
      <c r="X345" s="855"/>
      <c r="Y345" s="784"/>
      <c r="Z345" s="973"/>
      <c r="AA345" s="86"/>
      <c r="AB345" s="86"/>
      <c r="IQ345" s="86"/>
      <c r="IR345" s="86"/>
      <c r="IS345" s="86"/>
      <c r="IT345" s="86"/>
      <c r="IU345" s="86"/>
      <c r="IV345" s="86"/>
    </row>
    <row r="346" spans="1:256" s="73" customFormat="1" ht="12.75" thickTop="1" thickBot="1">
      <c r="A346" s="1002" t="s">
        <v>409</v>
      </c>
      <c r="B346" s="1003"/>
      <c r="C346" s="1005"/>
      <c r="D346" s="1005"/>
      <c r="E346" s="1005"/>
      <c r="F346" s="1005"/>
      <c r="G346" s="1005"/>
      <c r="H346" s="1138"/>
      <c r="I346" s="1076"/>
      <c r="J346" s="1076"/>
      <c r="K346" s="1076"/>
      <c r="L346" s="1139"/>
      <c r="M346" s="1139"/>
      <c r="N346" s="1074"/>
      <c r="O346" s="1008"/>
      <c r="P346" s="1140">
        <f>SUM(P320,P329,P333,P337,P341,P344)</f>
        <v>989.46000000000015</v>
      </c>
      <c r="Q346" s="1139">
        <f>SUM(Q320,Q329,Q333,Q337,Q341,Q344)</f>
        <v>1258.3333333333335</v>
      </c>
      <c r="R346" s="1139">
        <f>SUM(R320,R329,R333,R337,R341,R344)</f>
        <v>2904.0533333333333</v>
      </c>
      <c r="S346" s="1139">
        <f>SUM(S320,S329,S333,S337,S341,S344)</f>
        <v>80349.022880000004</v>
      </c>
      <c r="T346" s="1139"/>
      <c r="U346" s="1141">
        <f t="shared" ref="U346:Z346" si="109">SUM(U320,U329,U333,U337,U341,U344)</f>
        <v>66.040000000000006</v>
      </c>
      <c r="V346" s="1141">
        <f t="shared" si="109"/>
        <v>989.46000000000015</v>
      </c>
      <c r="W346" s="1139">
        <f t="shared" si="109"/>
        <v>4162.3866666666672</v>
      </c>
      <c r="X346" s="1141">
        <f t="shared" si="109"/>
        <v>0</v>
      </c>
      <c r="Y346" s="1141">
        <f t="shared" si="109"/>
        <v>0</v>
      </c>
      <c r="Z346" s="1011">
        <f t="shared" si="109"/>
        <v>0</v>
      </c>
      <c r="AA346" s="1"/>
      <c r="AB346" s="1"/>
      <c r="IQ346" s="86"/>
      <c r="IR346" s="86"/>
      <c r="IS346" s="86"/>
      <c r="IT346" s="86"/>
      <c r="IU346" s="86"/>
      <c r="IV346" s="86"/>
    </row>
    <row r="347" spans="1:256" s="73" customFormat="1">
      <c r="A347" s="570"/>
      <c r="B347" s="570"/>
      <c r="C347" s="80"/>
      <c r="D347" s="80"/>
      <c r="E347" s="80"/>
      <c r="F347" s="80"/>
      <c r="G347" s="80"/>
      <c r="H347" s="80"/>
      <c r="I347" s="81"/>
      <c r="J347" s="81"/>
      <c r="K347" s="81"/>
      <c r="L347" s="82"/>
      <c r="M347" s="82"/>
      <c r="N347" s="82"/>
      <c r="O347" s="83"/>
      <c r="P347" s="83"/>
      <c r="Q347" s="84"/>
      <c r="R347" s="84"/>
      <c r="S347" s="82"/>
      <c r="T347" s="508"/>
      <c r="U347" s="783"/>
      <c r="V347" s="783"/>
      <c r="X347" s="855"/>
      <c r="Y347" s="783"/>
      <c r="Z347" s="1"/>
      <c r="AA347" s="1"/>
      <c r="AB347" s="1"/>
      <c r="IQ347" s="86"/>
      <c r="IR347" s="86"/>
      <c r="IS347" s="86"/>
      <c r="IT347" s="86"/>
      <c r="IU347" s="86"/>
      <c r="IV347" s="86"/>
    </row>
    <row r="348" spans="1:256" s="73" customFormat="1">
      <c r="A348" s="570"/>
      <c r="B348" s="570"/>
      <c r="C348" s="80"/>
      <c r="D348" s="80"/>
      <c r="E348" s="80"/>
      <c r="F348" s="80"/>
      <c r="G348" s="80"/>
      <c r="H348" s="80"/>
      <c r="I348" s="81"/>
      <c r="J348" s="81"/>
      <c r="K348" s="81"/>
      <c r="L348" s="82"/>
      <c r="M348" s="82"/>
      <c r="N348" s="82"/>
      <c r="O348" s="83"/>
      <c r="P348" s="83"/>
      <c r="Q348" s="84"/>
      <c r="R348" s="84"/>
      <c r="S348" s="82"/>
      <c r="T348" s="508"/>
      <c r="U348" s="783"/>
      <c r="V348" s="783"/>
      <c r="X348" s="855"/>
      <c r="Y348" s="783"/>
      <c r="Z348" s="1"/>
      <c r="AA348" s="1"/>
      <c r="AB348" s="1"/>
      <c r="IQ348" s="86"/>
      <c r="IR348" s="86"/>
      <c r="IS348" s="86"/>
      <c r="IT348" s="86"/>
      <c r="IU348" s="86"/>
      <c r="IV348" s="86"/>
    </row>
    <row r="349" spans="1:256" s="73" customFormat="1" ht="12" thickBot="1">
      <c r="A349" s="570"/>
      <c r="B349" s="570"/>
      <c r="C349" s="80"/>
      <c r="D349" s="80"/>
      <c r="E349" s="80"/>
      <c r="F349" s="80"/>
      <c r="G349" s="80"/>
      <c r="H349" s="80"/>
      <c r="I349" s="81"/>
      <c r="J349" s="81"/>
      <c r="K349" s="81"/>
      <c r="L349" s="82"/>
      <c r="M349" s="82"/>
      <c r="N349" s="82"/>
      <c r="O349" s="83"/>
      <c r="P349" s="83"/>
      <c r="Q349" s="84"/>
      <c r="R349" s="84"/>
      <c r="S349" s="82"/>
      <c r="T349" s="508"/>
      <c r="U349" s="783"/>
      <c r="V349" s="783"/>
      <c r="X349" s="855"/>
      <c r="Y349" s="783"/>
      <c r="Z349" s="1"/>
      <c r="AA349" s="1"/>
      <c r="AB349" s="1"/>
      <c r="IQ349" s="86"/>
      <c r="IR349" s="86"/>
      <c r="IS349" s="86"/>
      <c r="IT349" s="86"/>
      <c r="IU349" s="86"/>
      <c r="IV349" s="86"/>
    </row>
    <row r="350" spans="1:256" s="73" customFormat="1" ht="12.75" thickTop="1" thickBot="1">
      <c r="A350" s="1045" t="s">
        <v>351</v>
      </c>
      <c r="B350" s="1046"/>
      <c r="C350" s="1047"/>
      <c r="D350" s="1047"/>
      <c r="E350" s="1047"/>
      <c r="F350" s="1047"/>
      <c r="G350" s="1047"/>
      <c r="H350" s="1047"/>
      <c r="I350" s="1048"/>
      <c r="J350" s="1048"/>
      <c r="K350" s="1048"/>
      <c r="L350" s="1049"/>
      <c r="M350" s="1050"/>
      <c r="N350" s="1077"/>
      <c r="O350" s="1051"/>
      <c r="P350" s="1052"/>
      <c r="Q350" s="1053"/>
      <c r="R350" s="1053"/>
      <c r="S350" s="1054"/>
      <c r="T350" s="1054"/>
      <c r="U350" s="1055"/>
      <c r="V350" s="1055"/>
      <c r="W350" s="1054"/>
      <c r="X350" s="1055"/>
      <c r="Y350" s="1055"/>
      <c r="Z350" s="1054"/>
      <c r="AA350" s="1"/>
      <c r="AB350" s="1"/>
      <c r="AC350" s="229"/>
      <c r="AD350" s="229"/>
      <c r="AE350" s="229"/>
      <c r="AF350" s="229"/>
      <c r="AG350" s="229"/>
      <c r="IQ350" s="86"/>
      <c r="IR350" s="86"/>
      <c r="IS350" s="86"/>
      <c r="IT350" s="86"/>
      <c r="IU350" s="86"/>
      <c r="IV350" s="86"/>
    </row>
    <row r="351" spans="1:256" s="73" customFormat="1" ht="12.75" thickTop="1" thickBot="1">
      <c r="A351" s="74" t="s">
        <v>352</v>
      </c>
      <c r="B351" s="65"/>
      <c r="C351" s="247"/>
      <c r="D351" s="247"/>
      <c r="E351" s="247"/>
      <c r="F351" s="247"/>
      <c r="G351" s="247"/>
      <c r="H351" s="247"/>
      <c r="I351" s="248"/>
      <c r="J351" s="248"/>
      <c r="K351" s="248"/>
      <c r="L351" s="249"/>
      <c r="M351" s="250"/>
      <c r="N351" s="329"/>
      <c r="O351" s="251"/>
      <c r="P351" s="252"/>
      <c r="Q351" s="253"/>
      <c r="R351" s="253"/>
      <c r="S351" s="254"/>
      <c r="T351" s="254"/>
      <c r="U351" s="860"/>
      <c r="V351" s="860"/>
      <c r="W351" s="254"/>
      <c r="X351" s="860"/>
      <c r="Y351" s="860"/>
      <c r="Z351" s="254"/>
      <c r="AA351" s="1"/>
      <c r="AB351" s="1"/>
      <c r="AC351" s="229"/>
      <c r="AD351" s="229"/>
      <c r="AE351" s="229"/>
      <c r="AF351" s="229"/>
      <c r="AG351" s="229"/>
      <c r="IQ351" s="86"/>
      <c r="IR351" s="86"/>
      <c r="IS351" s="86"/>
      <c r="IT351" s="86"/>
      <c r="IU351" s="86"/>
      <c r="IV351" s="86"/>
    </row>
    <row r="352" spans="1:256" s="73" customFormat="1" ht="12" thickTop="1">
      <c r="A352" s="87" t="s">
        <v>213</v>
      </c>
      <c r="B352" s="330"/>
      <c r="C352" s="331"/>
      <c r="D352" s="331"/>
      <c r="E352" s="331"/>
      <c r="F352" s="331"/>
      <c r="G352" s="331"/>
      <c r="H352" s="331"/>
      <c r="I352" s="332"/>
      <c r="J352" s="332"/>
      <c r="K352" s="332"/>
      <c r="L352" s="333"/>
      <c r="M352" s="333"/>
      <c r="N352" s="334"/>
      <c r="O352" s="335"/>
      <c r="P352" s="336"/>
      <c r="Q352" s="337"/>
      <c r="R352" s="337"/>
      <c r="S352" s="338"/>
      <c r="T352" s="508"/>
      <c r="U352" s="783"/>
      <c r="V352" s="783"/>
      <c r="X352" s="855"/>
      <c r="Y352" s="783"/>
      <c r="Z352" s="1"/>
      <c r="AA352" s="1"/>
      <c r="AB352" s="1"/>
      <c r="IQ352" s="86"/>
      <c r="IR352" s="86"/>
      <c r="IS352" s="86"/>
      <c r="IT352" s="86"/>
      <c r="IU352" s="86"/>
      <c r="IV352" s="86"/>
    </row>
    <row r="353" spans="1:256" s="73" customFormat="1">
      <c r="A353" s="180"/>
      <c r="B353" s="144" t="s">
        <v>214</v>
      </c>
      <c r="C353" s="111"/>
      <c r="D353" s="111"/>
      <c r="E353" s="111"/>
      <c r="F353" s="111"/>
      <c r="G353" s="111"/>
      <c r="H353" s="111"/>
      <c r="I353" s="112"/>
      <c r="J353" s="112"/>
      <c r="K353" s="112"/>
      <c r="L353" s="113"/>
      <c r="M353" s="304"/>
      <c r="N353" s="305"/>
      <c r="O353" s="207"/>
      <c r="P353" s="182"/>
      <c r="Q353" s="51"/>
      <c r="R353" s="51"/>
      <c r="S353" s="346"/>
      <c r="T353" s="508"/>
      <c r="U353" s="783"/>
      <c r="V353" s="783"/>
      <c r="X353" s="855"/>
      <c r="Y353" s="783"/>
      <c r="Z353" s="1"/>
      <c r="AA353" s="1"/>
      <c r="AB353" s="1"/>
      <c r="IQ353" s="86"/>
      <c r="IR353" s="86"/>
      <c r="IS353" s="86"/>
      <c r="IT353" s="86"/>
      <c r="IU353" s="86"/>
      <c r="IV353" s="86"/>
    </row>
    <row r="354" spans="1:256" s="73" customFormat="1">
      <c r="A354" s="43"/>
      <c r="B354" s="208" t="s">
        <v>215</v>
      </c>
      <c r="C354" s="45">
        <v>0</v>
      </c>
      <c r="D354" s="45">
        <v>0.25</v>
      </c>
      <c r="E354" s="45">
        <v>5</v>
      </c>
      <c r="F354" s="45">
        <v>1</v>
      </c>
      <c r="G354" s="45">
        <v>0</v>
      </c>
      <c r="H354" s="45">
        <f>SUM(C354:G354)</f>
        <v>6.25</v>
      </c>
      <c r="I354" s="46">
        <f>D354*$O354</f>
        <v>2</v>
      </c>
      <c r="J354" s="46">
        <f>E354*$O354</f>
        <v>40</v>
      </c>
      <c r="K354" s="46">
        <f>F354*$O354</f>
        <v>8</v>
      </c>
      <c r="L354" s="47">
        <f>((C354*$C$5)+(D354*$D$5)+(E354*$E$5)+(F354*$F$5)+(G354*$G$5))</f>
        <v>439.79599999999999</v>
      </c>
      <c r="M354" s="350">
        <v>0</v>
      </c>
      <c r="N354" s="351">
        <v>8</v>
      </c>
      <c r="O354" s="49">
        <f>0.25*P9</f>
        <v>8</v>
      </c>
      <c r="P354" s="50">
        <f>(C354+D354+E354+F354+G354)*O354</f>
        <v>50</v>
      </c>
      <c r="Q354" s="155">
        <f>M354*O354</f>
        <v>0</v>
      </c>
      <c r="R354" s="156">
        <f>N354*O354</f>
        <v>64</v>
      </c>
      <c r="S354" s="52">
        <f>(L354+M354+N354)*O354</f>
        <v>3582.3679999999999</v>
      </c>
      <c r="T354" s="841" t="s">
        <v>408</v>
      </c>
      <c r="U354" s="842">
        <f>IF($T354="RP",O354,"")</f>
        <v>8</v>
      </c>
      <c r="V354" s="842">
        <f>IF($T354="RP",P354,"")</f>
        <v>50</v>
      </c>
      <c r="W354" s="842">
        <f>IF($T354="RP",SUM(Q354:R354),"")</f>
        <v>64</v>
      </c>
      <c r="X354" s="842" t="str">
        <f>IF($T354="RK",O354,"")</f>
        <v/>
      </c>
      <c r="Y354" s="842" t="str">
        <f>IF($T354="RK",P354,"")</f>
        <v/>
      </c>
      <c r="Z354" s="843" t="str">
        <f>IF($T354="Rk",SUM(Q354:R354),"")</f>
        <v/>
      </c>
      <c r="AA354" s="1"/>
      <c r="AB354" s="1"/>
      <c r="IQ354" s="86"/>
      <c r="IR354" s="86"/>
      <c r="IS354" s="86"/>
      <c r="IT354" s="86"/>
      <c r="IU354" s="86"/>
      <c r="IV354" s="86"/>
    </row>
    <row r="355" spans="1:256" s="73" customFormat="1">
      <c r="A355" s="181"/>
      <c r="B355" s="144" t="s">
        <v>216</v>
      </c>
      <c r="C355" s="111"/>
      <c r="D355" s="111"/>
      <c r="E355" s="111"/>
      <c r="F355" s="111"/>
      <c r="G355" s="111"/>
      <c r="H355" s="111"/>
      <c r="I355" s="112"/>
      <c r="J355" s="112"/>
      <c r="K355" s="112"/>
      <c r="L355" s="113"/>
      <c r="M355" s="304"/>
      <c r="N355" s="305" t="s">
        <v>30</v>
      </c>
      <c r="O355" s="207"/>
      <c r="P355" s="182"/>
      <c r="Q355" s="51"/>
      <c r="R355" s="51"/>
      <c r="S355" s="346"/>
      <c r="T355" s="508"/>
      <c r="U355" s="783"/>
      <c r="V355" s="783"/>
      <c r="X355" s="855"/>
      <c r="Y355" s="783"/>
      <c r="Z355" s="1"/>
      <c r="AA355" s="1"/>
      <c r="AB355" s="1"/>
      <c r="IQ355" s="86"/>
      <c r="IR355" s="86"/>
      <c r="IS355" s="86"/>
      <c r="IT355" s="86"/>
      <c r="IU355" s="86"/>
      <c r="IV355" s="86"/>
    </row>
    <row r="356" spans="1:256" s="73" customFormat="1" ht="12" thickBot="1">
      <c r="A356" s="43"/>
      <c r="B356" s="208" t="s">
        <v>215</v>
      </c>
      <c r="C356" s="45">
        <v>0</v>
      </c>
      <c r="D356" s="45">
        <v>0.25</v>
      </c>
      <c r="E356" s="45">
        <v>5</v>
      </c>
      <c r="F356" s="45">
        <v>1</v>
      </c>
      <c r="G356" s="45">
        <v>0</v>
      </c>
      <c r="H356" s="45">
        <f>SUM(C356:G356)</f>
        <v>6.25</v>
      </c>
      <c r="I356" s="46">
        <f>D356*$O356</f>
        <v>0.8</v>
      </c>
      <c r="J356" s="46">
        <f>E356*$O356</f>
        <v>16</v>
      </c>
      <c r="K356" s="46">
        <f>F356*$O356</f>
        <v>3.2</v>
      </c>
      <c r="L356" s="47">
        <f>((C356*$C$5)+(D356*$D$5)+(E356*$E$5)+(F356*$F$5)+(G356*$G$5))</f>
        <v>439.79599999999999</v>
      </c>
      <c r="M356" s="350">
        <v>0</v>
      </c>
      <c r="N356" s="351">
        <v>8</v>
      </c>
      <c r="O356" s="49">
        <f>0.1*P9</f>
        <v>3.2</v>
      </c>
      <c r="P356" s="50">
        <f>(C356+D356+E356+F356+G356)*O356</f>
        <v>20</v>
      </c>
      <c r="Q356" s="51">
        <f>M356*O356</f>
        <v>0</v>
      </c>
      <c r="R356" s="51">
        <f>N356*O356</f>
        <v>25.6</v>
      </c>
      <c r="S356" s="52">
        <f>(L356+M356+N356)*O356</f>
        <v>1432.9472000000001</v>
      </c>
      <c r="T356" s="841" t="s">
        <v>408</v>
      </c>
      <c r="U356" s="842">
        <f>IF($T356="RP",O356,"")</f>
        <v>3.2</v>
      </c>
      <c r="V356" s="842">
        <f>IF($T356="RP",P356,"")</f>
        <v>20</v>
      </c>
      <c r="W356" s="842">
        <f>IF($T356="RP",SUM(Q356:R356),"")</f>
        <v>25.6</v>
      </c>
      <c r="X356" s="842" t="str">
        <f>IF($T356="RK",O356,"")</f>
        <v/>
      </c>
      <c r="Y356" s="842" t="str">
        <f>IF($T356="RK",P356,"")</f>
        <v/>
      </c>
      <c r="Z356" s="843" t="str">
        <f>IF($T356="Rk",SUM(Q356:R356),"")</f>
        <v/>
      </c>
      <c r="AA356" s="1"/>
      <c r="AB356" s="1"/>
      <c r="IQ356" s="86"/>
      <c r="IR356" s="86"/>
      <c r="IS356" s="86"/>
      <c r="IT356" s="86"/>
      <c r="IU356" s="86"/>
      <c r="IV356" s="86"/>
    </row>
    <row r="357" spans="1:256" s="73" customFormat="1" ht="12.75" thickTop="1" thickBot="1">
      <c r="A357" s="64" t="s">
        <v>29</v>
      </c>
      <c r="B357" s="54"/>
      <c r="C357" s="55">
        <f t="shared" ref="C357:N357" si="110">SUM(C353:C356)</f>
        <v>0</v>
      </c>
      <c r="D357" s="55">
        <f t="shared" si="110"/>
        <v>0.5</v>
      </c>
      <c r="E357" s="55">
        <f t="shared" si="110"/>
        <v>10</v>
      </c>
      <c r="F357" s="55">
        <f t="shared" si="110"/>
        <v>2</v>
      </c>
      <c r="G357" s="55">
        <f t="shared" si="110"/>
        <v>0</v>
      </c>
      <c r="H357" s="55">
        <f t="shared" si="110"/>
        <v>12.5</v>
      </c>
      <c r="I357" s="566">
        <f t="shared" si="110"/>
        <v>2.8</v>
      </c>
      <c r="J357" s="566">
        <f t="shared" si="110"/>
        <v>56</v>
      </c>
      <c r="K357" s="566">
        <f t="shared" si="110"/>
        <v>11.2</v>
      </c>
      <c r="L357" s="57">
        <f t="shared" si="110"/>
        <v>879.59199999999998</v>
      </c>
      <c r="M357" s="581">
        <f t="shared" si="110"/>
        <v>0</v>
      </c>
      <c r="N357" s="582">
        <f t="shared" si="110"/>
        <v>16</v>
      </c>
      <c r="O357" s="583"/>
      <c r="P357" s="60">
        <f>SUM(P353:P356)</f>
        <v>70</v>
      </c>
      <c r="Q357" s="61">
        <f>SUM(Q353:Q356)</f>
        <v>0</v>
      </c>
      <c r="R357" s="61">
        <f>SUM(R353:R356)</f>
        <v>89.6</v>
      </c>
      <c r="S357" s="62">
        <f>SUM(S353:S356)</f>
        <v>5015.3152</v>
      </c>
      <c r="T357" s="62"/>
      <c r="U357" s="849">
        <f t="shared" ref="U357:Z357" si="111">SUM(U353:U356)</f>
        <v>11.2</v>
      </c>
      <c r="V357" s="849">
        <f t="shared" si="111"/>
        <v>70</v>
      </c>
      <c r="W357" s="62">
        <f t="shared" si="111"/>
        <v>89.6</v>
      </c>
      <c r="X357" s="849">
        <f t="shared" si="111"/>
        <v>0</v>
      </c>
      <c r="Y357" s="849">
        <f t="shared" si="111"/>
        <v>0</v>
      </c>
      <c r="Z357" s="62">
        <f t="shared" si="111"/>
        <v>0</v>
      </c>
      <c r="AA357" s="1"/>
      <c r="AB357" s="1"/>
      <c r="AC357" s="63"/>
      <c r="AD357" s="63"/>
      <c r="AE357" s="63"/>
      <c r="AF357" s="63"/>
      <c r="AG357" s="63"/>
      <c r="IQ357" s="86"/>
      <c r="IR357" s="86"/>
      <c r="IS357" s="86"/>
      <c r="IT357" s="86"/>
      <c r="IU357" s="86"/>
      <c r="IV357" s="86"/>
    </row>
    <row r="358" spans="1:256" s="73" customFormat="1" ht="12" thickTop="1">
      <c r="A358" s="133" t="s">
        <v>217</v>
      </c>
      <c r="B358" s="154"/>
      <c r="C358" s="212"/>
      <c r="D358" s="212"/>
      <c r="E358" s="486"/>
      <c r="F358" s="365"/>
      <c r="G358" s="365"/>
      <c r="H358" s="365"/>
      <c r="I358" s="366"/>
      <c r="J358" s="366"/>
      <c r="K358" s="366"/>
      <c r="L358" s="367"/>
      <c r="M358" s="368"/>
      <c r="N358" s="369"/>
      <c r="O358" s="139"/>
      <c r="P358" s="370"/>
      <c r="Q358" s="141"/>
      <c r="R358" s="141"/>
      <c r="S358" s="142"/>
      <c r="T358" s="569"/>
      <c r="U358" s="783"/>
      <c r="V358" s="783"/>
      <c r="W358" s="219"/>
      <c r="X358" s="856"/>
      <c r="Y358" s="783"/>
      <c r="Z358" s="1"/>
      <c r="AA358" s="1"/>
      <c r="AB358" s="1"/>
      <c r="AC358" s="219"/>
      <c r="AD358" s="219"/>
      <c r="AE358" s="219"/>
      <c r="AF358" s="219"/>
      <c r="AG358" s="219"/>
      <c r="IQ358" s="86"/>
      <c r="IR358" s="86"/>
      <c r="IS358" s="86"/>
      <c r="IT358" s="86"/>
      <c r="IU358" s="86"/>
      <c r="IV358" s="86"/>
    </row>
    <row r="359" spans="1:256" s="73" customFormat="1">
      <c r="A359" s="181"/>
      <c r="B359" s="144" t="s">
        <v>218</v>
      </c>
      <c r="C359" s="111"/>
      <c r="D359" s="111"/>
      <c r="E359" s="111"/>
      <c r="F359" s="111"/>
      <c r="G359" s="111"/>
      <c r="H359" s="111"/>
      <c r="I359" s="112"/>
      <c r="J359" s="112"/>
      <c r="K359" s="112"/>
      <c r="L359" s="113"/>
      <c r="M359" s="304"/>
      <c r="N359" s="305" t="s">
        <v>30</v>
      </c>
      <c r="O359" s="207"/>
      <c r="P359" s="182"/>
      <c r="Q359" s="51"/>
      <c r="R359" s="51"/>
      <c r="S359" s="183"/>
      <c r="T359" s="508"/>
      <c r="U359" s="783"/>
      <c r="V359" s="783"/>
      <c r="X359" s="855"/>
      <c r="Y359" s="783"/>
      <c r="Z359" s="1"/>
      <c r="AA359" s="1"/>
      <c r="AB359" s="1"/>
      <c r="IQ359" s="86"/>
      <c r="IR359" s="86"/>
      <c r="IS359" s="86"/>
      <c r="IT359" s="86"/>
      <c r="IU359" s="86"/>
      <c r="IV359" s="86"/>
    </row>
    <row r="360" spans="1:256" s="73" customFormat="1" ht="12" thickBot="1">
      <c r="A360" s="181"/>
      <c r="B360" s="144" t="s">
        <v>219</v>
      </c>
      <c r="C360" s="111">
        <v>0</v>
      </c>
      <c r="D360" s="111">
        <v>0.25</v>
      </c>
      <c r="E360" s="111">
        <v>4</v>
      </c>
      <c r="F360" s="111">
        <v>2</v>
      </c>
      <c r="G360" s="111">
        <v>0</v>
      </c>
      <c r="H360" s="45">
        <f>SUM(C360:G360)</f>
        <v>6.25</v>
      </c>
      <c r="I360" s="46">
        <f>D360*$O360</f>
        <v>8</v>
      </c>
      <c r="J360" s="46">
        <f>E360*$O360</f>
        <v>128</v>
      </c>
      <c r="K360" s="46">
        <f>F360*$O360</f>
        <v>64</v>
      </c>
      <c r="L360" s="47">
        <f>((C360*$C$5)+(D360*$D$5)+(E360*$E$5)+(F360*$F$5)+(G360*$G$5))</f>
        <v>400.83399999999995</v>
      </c>
      <c r="M360" s="304">
        <v>0</v>
      </c>
      <c r="N360" s="305">
        <v>8</v>
      </c>
      <c r="O360" s="207">
        <f>P9</f>
        <v>32</v>
      </c>
      <c r="P360" s="50">
        <f>(C360+D360+E360+F360+G360)*O360</f>
        <v>200</v>
      </c>
      <c r="Q360" s="51">
        <f>M360*O360</f>
        <v>0</v>
      </c>
      <c r="R360" s="51">
        <f>N360*O360</f>
        <v>256</v>
      </c>
      <c r="S360" s="52">
        <f>(L360+M360+N360)*O360</f>
        <v>13082.687999999998</v>
      </c>
      <c r="T360" s="845" t="s">
        <v>408</v>
      </c>
      <c r="U360" s="784" t="s">
        <v>410</v>
      </c>
      <c r="V360" s="784">
        <f>IF($T360="RP",P360,"")</f>
        <v>200</v>
      </c>
      <c r="W360" s="784">
        <f>IF($T360="RP",SUM(Q360:R360),"")</f>
        <v>256</v>
      </c>
      <c r="X360" s="784" t="str">
        <f>IF($T360="RK",O360,"")</f>
        <v/>
      </c>
      <c r="Y360" s="784" t="str">
        <f>IF($T360="RK",P360,"")</f>
        <v/>
      </c>
      <c r="Z360" s="86" t="str">
        <f>IF($T360="Rk",SUM(Q360:R360),"")</f>
        <v/>
      </c>
      <c r="AA360" s="1"/>
      <c r="AB360" s="1"/>
      <c r="IQ360" s="86"/>
      <c r="IR360" s="86"/>
      <c r="IS360" s="86"/>
      <c r="IT360" s="86"/>
      <c r="IU360" s="86"/>
      <c r="IV360" s="86"/>
    </row>
    <row r="361" spans="1:256" s="73" customFormat="1" ht="12.75" thickTop="1" thickBot="1">
      <c r="A361" s="64" t="s">
        <v>29</v>
      </c>
      <c r="B361" s="54"/>
      <c r="C361" s="55">
        <f t="shared" ref="C361:H361" si="112">SUM(C360)</f>
        <v>0</v>
      </c>
      <c r="D361" s="55">
        <f t="shared" si="112"/>
        <v>0.25</v>
      </c>
      <c r="E361" s="55">
        <f t="shared" si="112"/>
        <v>4</v>
      </c>
      <c r="F361" s="55">
        <f t="shared" si="112"/>
        <v>2</v>
      </c>
      <c r="G361" s="55">
        <f t="shared" si="112"/>
        <v>0</v>
      </c>
      <c r="H361" s="55">
        <f t="shared" si="112"/>
        <v>6.25</v>
      </c>
      <c r="I361" s="56">
        <f>SUM(I369:I369)</f>
        <v>0</v>
      </c>
      <c r="J361" s="56">
        <f>SUM(J369:J369)</f>
        <v>0</v>
      </c>
      <c r="K361" s="56">
        <f>SUM(K369:K369)</f>
        <v>1280</v>
      </c>
      <c r="L361" s="57">
        <f>SUM(L360)</f>
        <v>400.83399999999995</v>
      </c>
      <c r="M361" s="57">
        <f>SUM(M360)</f>
        <v>0</v>
      </c>
      <c r="N361" s="58">
        <f>SUM(N360)</f>
        <v>8</v>
      </c>
      <c r="O361" s="308"/>
      <c r="P361" s="122">
        <f>SUM(P360)</f>
        <v>200</v>
      </c>
      <c r="Q361" s="57">
        <f>SUM(Q360)</f>
        <v>0</v>
      </c>
      <c r="R361" s="57">
        <f>SUM(R360)</f>
        <v>256</v>
      </c>
      <c r="S361" s="567">
        <f>SUM(S360)</f>
        <v>13082.687999999998</v>
      </c>
      <c r="T361" s="1155"/>
      <c r="U361" s="1106">
        <f t="shared" ref="U361:Z361" si="113">SUM(U360)</f>
        <v>0</v>
      </c>
      <c r="V361" s="1106">
        <f t="shared" si="113"/>
        <v>200</v>
      </c>
      <c r="W361" s="1106">
        <f t="shared" si="113"/>
        <v>256</v>
      </c>
      <c r="X361" s="1106">
        <f t="shared" si="113"/>
        <v>0</v>
      </c>
      <c r="Y361" s="1106">
        <f t="shared" si="113"/>
        <v>0</v>
      </c>
      <c r="Z361" s="1156">
        <f t="shared" si="113"/>
        <v>0</v>
      </c>
      <c r="AA361" s="1"/>
      <c r="AB361" s="1"/>
      <c r="IQ361" s="86"/>
      <c r="IR361" s="86"/>
      <c r="IS361" s="86"/>
      <c r="IT361" s="86"/>
      <c r="IU361" s="86"/>
      <c r="IV361" s="86"/>
    </row>
    <row r="362" spans="1:256" s="73" customFormat="1" ht="12.75" thickTop="1" thickBot="1">
      <c r="A362" s="74" t="s">
        <v>353</v>
      </c>
      <c r="B362" s="65"/>
      <c r="C362" s="66"/>
      <c r="D362" s="66"/>
      <c r="E362" s="66"/>
      <c r="F362" s="66"/>
      <c r="G362" s="66"/>
      <c r="H362" s="66"/>
      <c r="I362" s="67"/>
      <c r="J362" s="67"/>
      <c r="K362" s="67"/>
      <c r="L362" s="68"/>
      <c r="M362" s="68"/>
      <c r="N362" s="69"/>
      <c r="O362" s="70"/>
      <c r="P362" s="70"/>
      <c r="Q362" s="71"/>
      <c r="R362" s="71"/>
      <c r="S362" s="72"/>
      <c r="T362" s="882"/>
      <c r="U362" s="883"/>
      <c r="V362" s="883"/>
      <c r="W362" s="882"/>
      <c r="X362" s="883"/>
      <c r="Y362" s="883"/>
      <c r="Z362" s="882"/>
      <c r="AA362" s="1"/>
      <c r="AB362" s="1"/>
      <c r="AC362" s="219"/>
      <c r="AD362" s="219"/>
      <c r="AE362" s="219"/>
      <c r="AF362" s="219"/>
      <c r="AG362" s="219"/>
      <c r="IQ362" s="86"/>
      <c r="IR362" s="86"/>
      <c r="IS362" s="86"/>
      <c r="IT362" s="86"/>
      <c r="IU362" s="86"/>
      <c r="IV362" s="86"/>
    </row>
    <row r="363" spans="1:256" s="73" customFormat="1" ht="12" thickTop="1">
      <c r="A363" s="133" t="s">
        <v>220</v>
      </c>
      <c r="B363" s="177"/>
      <c r="C363" s="135"/>
      <c r="D363" s="135"/>
      <c r="E363" s="135"/>
      <c r="F363" s="135"/>
      <c r="G363" s="135"/>
      <c r="H363" s="135"/>
      <c r="I363" s="136"/>
      <c r="J363" s="136"/>
      <c r="K363" s="136"/>
      <c r="L363" s="137"/>
      <c r="M363" s="137"/>
      <c r="N363" s="285"/>
      <c r="O363" s="140"/>
      <c r="P363" s="140"/>
      <c r="Q363" s="141"/>
      <c r="R363" s="141"/>
      <c r="S363" s="142"/>
      <c r="T363" s="584"/>
      <c r="U363" s="783"/>
      <c r="V363" s="783"/>
      <c r="W363" s="193"/>
      <c r="X363" s="861"/>
      <c r="Y363" s="783"/>
      <c r="Z363" s="1"/>
      <c r="AA363" s="1"/>
      <c r="AB363" s="1"/>
      <c r="AC363" s="193"/>
      <c r="AD363" s="193"/>
      <c r="AE363" s="193"/>
      <c r="AF363" s="193"/>
      <c r="AG363" s="193"/>
      <c r="IQ363" s="86"/>
      <c r="IR363" s="86"/>
      <c r="IS363" s="86"/>
      <c r="IT363" s="86"/>
      <c r="IU363" s="86"/>
      <c r="IV363" s="86"/>
    </row>
    <row r="364" spans="1:256" s="73" customFormat="1">
      <c r="A364" s="181"/>
      <c r="B364" s="144" t="s">
        <v>221</v>
      </c>
      <c r="C364" s="111"/>
      <c r="D364" s="111"/>
      <c r="E364" s="111"/>
      <c r="F364" s="111"/>
      <c r="G364" s="111"/>
      <c r="H364" s="111"/>
      <c r="I364" s="112"/>
      <c r="J364" s="112"/>
      <c r="K364" s="112"/>
      <c r="L364" s="113"/>
      <c r="M364" s="304"/>
      <c r="N364" s="305"/>
      <c r="O364" s="207"/>
      <c r="P364" s="182"/>
      <c r="Q364" s="51"/>
      <c r="R364" s="51"/>
      <c r="S364" s="346"/>
      <c r="T364" s="508"/>
      <c r="U364" s="783"/>
      <c r="V364" s="783"/>
      <c r="X364" s="855"/>
      <c r="Y364" s="783"/>
      <c r="Z364" s="1"/>
      <c r="AA364" s="1"/>
      <c r="AB364" s="1"/>
      <c r="IQ364" s="86"/>
      <c r="IR364" s="86"/>
      <c r="IS364" s="86"/>
      <c r="IT364" s="86"/>
      <c r="IU364" s="86"/>
      <c r="IV364" s="86"/>
    </row>
    <row r="365" spans="1:256" s="73" customFormat="1" ht="12" thickBot="1">
      <c r="A365" s="43"/>
      <c r="B365" s="208" t="s">
        <v>222</v>
      </c>
      <c r="C365" s="45">
        <v>0</v>
      </c>
      <c r="D365" s="45">
        <v>0</v>
      </c>
      <c r="E365" s="45">
        <v>0</v>
      </c>
      <c r="F365" s="45">
        <v>40</v>
      </c>
      <c r="G365" s="45">
        <v>0</v>
      </c>
      <c r="H365" s="45">
        <f>SUM(C365:G365)</f>
        <v>40</v>
      </c>
      <c r="I365" s="46">
        <f>D365*$O365</f>
        <v>0</v>
      </c>
      <c r="J365" s="46">
        <f>E365*$O365</f>
        <v>0</v>
      </c>
      <c r="K365" s="46">
        <f>F365*$O365</f>
        <v>2560</v>
      </c>
      <c r="L365" s="47">
        <f>((C365*$C$5)+(D365*$D$5)+(E365*$E$5)+(F365*$F$5)+(G365*$G$5))</f>
        <v>1473.92</v>
      </c>
      <c r="M365" s="350">
        <v>66.67</v>
      </c>
      <c r="N365" s="351">
        <v>0</v>
      </c>
      <c r="O365" s="49">
        <f>P10</f>
        <v>64</v>
      </c>
      <c r="P365" s="50">
        <f>(C365+D365+E365+F365+G365)*O365</f>
        <v>2560</v>
      </c>
      <c r="Q365" s="51">
        <f>M365*O365</f>
        <v>4266.88</v>
      </c>
      <c r="R365" s="51">
        <f>N365*O365</f>
        <v>0</v>
      </c>
      <c r="S365" s="52">
        <f>(L365+M365+N365)*O365</f>
        <v>98597.760000000009</v>
      </c>
      <c r="T365" s="841" t="s">
        <v>408</v>
      </c>
      <c r="U365" s="842">
        <f>IF($T365="RP",O365,"")</f>
        <v>64</v>
      </c>
      <c r="V365" s="842">
        <f>IF($T365="RP",P365,"")</f>
        <v>2560</v>
      </c>
      <c r="W365" s="842">
        <f>IF($T365="RP",SUM(Q365:R365),"")</f>
        <v>4266.88</v>
      </c>
      <c r="X365" s="842" t="str">
        <f>IF($T365="RK",O365,"")</f>
        <v/>
      </c>
      <c r="Y365" s="842" t="str">
        <f>IF($T365="RK",P365,"")</f>
        <v/>
      </c>
      <c r="Z365" s="843" t="str">
        <f>IF($T365="Rk",SUM(Q365:R365),"")</f>
        <v/>
      </c>
      <c r="AA365" s="1"/>
      <c r="AB365" s="1"/>
      <c r="IQ365" s="86"/>
      <c r="IR365" s="86"/>
      <c r="IS365" s="86"/>
      <c r="IT365" s="86"/>
      <c r="IU365" s="86"/>
      <c r="IV365" s="86"/>
    </row>
    <row r="366" spans="1:256" s="73" customFormat="1" ht="12.75" thickTop="1" thickBot="1">
      <c r="A366" s="64" t="s">
        <v>29</v>
      </c>
      <c r="B366" s="54"/>
      <c r="C366" s="55">
        <f t="shared" ref="C366:H366" si="114">SUM(C365)</f>
        <v>0</v>
      </c>
      <c r="D366" s="55">
        <f t="shared" si="114"/>
        <v>0</v>
      </c>
      <c r="E366" s="55">
        <f t="shared" si="114"/>
        <v>0</v>
      </c>
      <c r="F366" s="55">
        <f t="shared" si="114"/>
        <v>40</v>
      </c>
      <c r="G366" s="55">
        <f t="shared" si="114"/>
        <v>0</v>
      </c>
      <c r="H366" s="55">
        <f t="shared" si="114"/>
        <v>40</v>
      </c>
      <c r="I366" s="56">
        <f>I364</f>
        <v>0</v>
      </c>
      <c r="J366" s="56">
        <f>J364</f>
        <v>0</v>
      </c>
      <c r="K366" s="56">
        <f>K364</f>
        <v>0</v>
      </c>
      <c r="L366" s="57">
        <f>SUM(L365)</f>
        <v>1473.92</v>
      </c>
      <c r="M366" s="57">
        <f>SUM(M365)</f>
        <v>66.67</v>
      </c>
      <c r="N366" s="58">
        <f>SUM(N365)</f>
        <v>0</v>
      </c>
      <c r="O366" s="308"/>
      <c r="P366" s="122">
        <f>SUM(P365)</f>
        <v>2560</v>
      </c>
      <c r="Q366" s="57">
        <f>SUM(Q365)</f>
        <v>4266.88</v>
      </c>
      <c r="R366" s="57">
        <f>SUM(R365)</f>
        <v>0</v>
      </c>
      <c r="S366" s="57">
        <f>SUM(S365)</f>
        <v>98597.760000000009</v>
      </c>
      <c r="T366" s="57"/>
      <c r="U366" s="853">
        <f t="shared" ref="U366:Z366" si="115">SUM(U365)</f>
        <v>64</v>
      </c>
      <c r="V366" s="853">
        <f t="shared" si="115"/>
        <v>2560</v>
      </c>
      <c r="W366" s="57">
        <f t="shared" si="115"/>
        <v>4266.88</v>
      </c>
      <c r="X366" s="853">
        <f t="shared" si="115"/>
        <v>0</v>
      </c>
      <c r="Y366" s="853">
        <f t="shared" si="115"/>
        <v>0</v>
      </c>
      <c r="Z366" s="57">
        <f t="shared" si="115"/>
        <v>0</v>
      </c>
      <c r="AA366" s="1"/>
      <c r="AB366" s="1"/>
      <c r="IQ366" s="86"/>
      <c r="IR366" s="86"/>
      <c r="IS366" s="86"/>
      <c r="IT366" s="86"/>
      <c r="IU366" s="86"/>
      <c r="IV366" s="86"/>
    </row>
    <row r="367" spans="1:256" s="73" customFormat="1" ht="12" thickTop="1">
      <c r="A367" s="401" t="s">
        <v>223</v>
      </c>
      <c r="B367" s="576"/>
      <c r="C367" s="403"/>
      <c r="D367" s="403"/>
      <c r="E367" s="403"/>
      <c r="F367" s="403"/>
      <c r="G367" s="403"/>
      <c r="H367" s="403"/>
      <c r="I367" s="404"/>
      <c r="J367" s="404"/>
      <c r="K367" s="404"/>
      <c r="L367" s="405"/>
      <c r="M367" s="405"/>
      <c r="N367" s="406"/>
      <c r="O367" s="407"/>
      <c r="P367" s="408"/>
      <c r="Q367" s="409"/>
      <c r="R367" s="409"/>
      <c r="S367" s="410"/>
      <c r="T367" s="508"/>
      <c r="U367" s="783"/>
      <c r="V367" s="783"/>
      <c r="X367" s="855"/>
      <c r="Y367" s="783"/>
      <c r="Z367" s="1"/>
      <c r="AA367" s="1"/>
      <c r="AB367" s="1"/>
      <c r="IQ367" s="86"/>
      <c r="IR367" s="86"/>
      <c r="IS367" s="86"/>
      <c r="IT367" s="86"/>
      <c r="IU367" s="86"/>
      <c r="IV367" s="86"/>
    </row>
    <row r="368" spans="1:256" s="73" customFormat="1">
      <c r="A368" s="181"/>
      <c r="B368" s="144" t="s">
        <v>259</v>
      </c>
      <c r="C368" s="111"/>
      <c r="D368" s="111"/>
      <c r="E368" s="111"/>
      <c r="F368" s="111"/>
      <c r="G368" s="111"/>
      <c r="H368" s="111"/>
      <c r="I368" s="112"/>
      <c r="J368" s="112"/>
      <c r="K368" s="112"/>
      <c r="L368" s="113"/>
      <c r="M368" s="304"/>
      <c r="N368" s="305"/>
      <c r="O368" s="207"/>
      <c r="P368" s="182"/>
      <c r="Q368" s="51"/>
      <c r="R368" s="51"/>
      <c r="S368" s="183"/>
      <c r="T368" s="508"/>
      <c r="U368" s="783"/>
      <c r="V368" s="783"/>
      <c r="X368" s="855"/>
      <c r="Y368" s="783"/>
      <c r="Z368" s="1"/>
      <c r="AA368" s="1"/>
      <c r="AB368" s="1"/>
      <c r="IQ368" s="86"/>
      <c r="IR368" s="86"/>
      <c r="IS368" s="86"/>
      <c r="IT368" s="86"/>
      <c r="IU368" s="86"/>
      <c r="IV368" s="86"/>
    </row>
    <row r="369" spans="1:256" s="73" customFormat="1" ht="12" thickBot="1">
      <c r="A369" s="43"/>
      <c r="B369" s="208" t="s">
        <v>224</v>
      </c>
      <c r="C369" s="45">
        <v>0</v>
      </c>
      <c r="D369" s="45">
        <v>0</v>
      </c>
      <c r="E369" s="45">
        <v>0</v>
      </c>
      <c r="F369" s="45">
        <v>20</v>
      </c>
      <c r="G369" s="45">
        <v>0</v>
      </c>
      <c r="H369" s="45">
        <f>SUM(C369:G369)</f>
        <v>20</v>
      </c>
      <c r="I369" s="46">
        <f>D369*$O369</f>
        <v>0</v>
      </c>
      <c r="J369" s="46">
        <f>E369*$O369</f>
        <v>0</v>
      </c>
      <c r="K369" s="46">
        <f>F369*$O369</f>
        <v>1280</v>
      </c>
      <c r="L369" s="47">
        <f>((C369*$C$5)+(D369*$D$5)+(E369*$E$5)+(F369*$F$5)+(G369*$G$5))</f>
        <v>736.96</v>
      </c>
      <c r="M369" s="350">
        <v>66.67</v>
      </c>
      <c r="N369" s="351">
        <v>0</v>
      </c>
      <c r="O369" s="49">
        <f>P10</f>
        <v>64</v>
      </c>
      <c r="P369" s="50">
        <f>(C369+D369+E369+F369+G369)*O369</f>
        <v>1280</v>
      </c>
      <c r="Q369" s="51">
        <f>M369*O369</f>
        <v>4266.88</v>
      </c>
      <c r="R369" s="51">
        <f>N369*O369</f>
        <v>0</v>
      </c>
      <c r="S369" s="52">
        <f>(L369+M369+N369)*O369</f>
        <v>51432.32</v>
      </c>
      <c r="T369" s="841" t="s">
        <v>408</v>
      </c>
      <c r="U369" s="842">
        <f>IF($T369="RP",O369,"")</f>
        <v>64</v>
      </c>
      <c r="V369" s="842">
        <f>IF($T369="RP",P369,"")</f>
        <v>1280</v>
      </c>
      <c r="W369" s="842">
        <f>IF($T369="RP",SUM(Q369:R369),"")</f>
        <v>4266.88</v>
      </c>
      <c r="X369" s="842" t="str">
        <f>IF($T369="RK",O369,"")</f>
        <v/>
      </c>
      <c r="Y369" s="842" t="str">
        <f>IF($T369="RK",P369,"")</f>
        <v/>
      </c>
      <c r="Z369" s="843" t="str">
        <f>IF($T369="Rk",SUM(Q369:R369),"")</f>
        <v/>
      </c>
      <c r="AA369" s="1"/>
      <c r="AB369" s="1"/>
      <c r="IQ369" s="86"/>
      <c r="IR369" s="86"/>
      <c r="IS369" s="86"/>
      <c r="IT369" s="86"/>
      <c r="IU369" s="86"/>
      <c r="IV369" s="86"/>
    </row>
    <row r="370" spans="1:256" s="73" customFormat="1" ht="12.75" thickTop="1" thickBot="1">
      <c r="A370" s="64" t="s">
        <v>29</v>
      </c>
      <c r="B370" s="54"/>
      <c r="C370" s="55">
        <f t="shared" ref="C370:H370" si="116">C369</f>
        <v>0</v>
      </c>
      <c r="D370" s="55">
        <f t="shared" si="116"/>
        <v>0</v>
      </c>
      <c r="E370" s="55">
        <f t="shared" si="116"/>
        <v>0</v>
      </c>
      <c r="F370" s="55">
        <f t="shared" si="116"/>
        <v>20</v>
      </c>
      <c r="G370" s="55">
        <f t="shared" si="116"/>
        <v>0</v>
      </c>
      <c r="H370" s="55">
        <f t="shared" si="116"/>
        <v>20</v>
      </c>
      <c r="I370" s="56">
        <f>I368</f>
        <v>0</v>
      </c>
      <c r="J370" s="56">
        <f>J368</f>
        <v>0</v>
      </c>
      <c r="K370" s="56">
        <f>K368</f>
        <v>0</v>
      </c>
      <c r="L370" s="57">
        <f>L369</f>
        <v>736.96</v>
      </c>
      <c r="M370" s="57">
        <f>M369</f>
        <v>66.67</v>
      </c>
      <c r="N370" s="58">
        <f>N369</f>
        <v>0</v>
      </c>
      <c r="O370" s="308"/>
      <c r="P370" s="122">
        <f>P369</f>
        <v>1280</v>
      </c>
      <c r="Q370" s="57">
        <f>Q369</f>
        <v>4266.88</v>
      </c>
      <c r="R370" s="57">
        <f>R369</f>
        <v>0</v>
      </c>
      <c r="S370" s="57">
        <f>S369</f>
        <v>51432.32</v>
      </c>
      <c r="T370" s="57"/>
      <c r="U370" s="853">
        <f t="shared" ref="U370:Z370" si="117">U369</f>
        <v>64</v>
      </c>
      <c r="V370" s="853">
        <f t="shared" si="117"/>
        <v>1280</v>
      </c>
      <c r="W370" s="57">
        <f t="shared" si="117"/>
        <v>4266.88</v>
      </c>
      <c r="X370" s="853" t="str">
        <f t="shared" si="117"/>
        <v/>
      </c>
      <c r="Y370" s="853" t="str">
        <f t="shared" si="117"/>
        <v/>
      </c>
      <c r="Z370" s="57" t="str">
        <f t="shared" si="117"/>
        <v/>
      </c>
      <c r="AA370" s="1"/>
      <c r="AB370" s="1"/>
      <c r="IQ370" s="86"/>
      <c r="IR370" s="86"/>
      <c r="IS370" s="86"/>
      <c r="IT370" s="86"/>
      <c r="IU370" s="86"/>
      <c r="IV370" s="86"/>
    </row>
    <row r="371" spans="1:256" s="73" customFormat="1" ht="12" thickTop="1">
      <c r="A371" s="133" t="s">
        <v>225</v>
      </c>
      <c r="B371" s="177"/>
      <c r="C371" s="365"/>
      <c r="D371" s="365"/>
      <c r="E371" s="365"/>
      <c r="F371" s="365"/>
      <c r="G371" s="365"/>
      <c r="H371" s="365"/>
      <c r="I371" s="366"/>
      <c r="J371" s="366"/>
      <c r="K371" s="366"/>
      <c r="L371" s="367"/>
      <c r="M371" s="367"/>
      <c r="N371" s="285"/>
      <c r="O371" s="140"/>
      <c r="P371" s="370"/>
      <c r="Q371" s="141"/>
      <c r="R371" s="141"/>
      <c r="S371" s="142"/>
      <c r="T371" s="508"/>
      <c r="U371" s="783"/>
      <c r="V371" s="783"/>
      <c r="X371" s="855"/>
      <c r="Y371" s="783"/>
      <c r="Z371" s="1"/>
      <c r="AA371" s="1"/>
      <c r="AB371" s="1"/>
      <c r="IQ371" s="86"/>
      <c r="IR371" s="86"/>
      <c r="IS371" s="86"/>
      <c r="IT371" s="86"/>
      <c r="IU371" s="86"/>
      <c r="IV371" s="86"/>
    </row>
    <row r="372" spans="1:256" s="73" customFormat="1">
      <c r="A372" s="181"/>
      <c r="B372" s="144" t="s">
        <v>226</v>
      </c>
      <c r="C372" s="111"/>
      <c r="D372" s="111"/>
      <c r="E372" s="111"/>
      <c r="F372" s="111"/>
      <c r="G372" s="111"/>
      <c r="H372" s="111"/>
      <c r="I372" s="112"/>
      <c r="J372" s="112"/>
      <c r="K372" s="112"/>
      <c r="L372" s="113"/>
      <c r="M372" s="113"/>
      <c r="N372" s="493"/>
      <c r="O372" s="490"/>
      <c r="P372" s="182"/>
      <c r="Q372" s="51"/>
      <c r="R372" s="51"/>
      <c r="S372" s="183"/>
      <c r="T372" s="508"/>
      <c r="U372" s="783"/>
      <c r="V372" s="783"/>
      <c r="X372" s="855"/>
      <c r="Y372" s="783"/>
      <c r="Z372" s="1"/>
      <c r="AA372" s="1"/>
      <c r="AB372" s="1"/>
      <c r="IQ372" s="86"/>
      <c r="IR372" s="86"/>
      <c r="IS372" s="86"/>
      <c r="IT372" s="86"/>
      <c r="IU372" s="86"/>
      <c r="IV372" s="86"/>
    </row>
    <row r="373" spans="1:256" s="73" customFormat="1" ht="12" thickBot="1">
      <c r="A373" s="274"/>
      <c r="B373" s="144" t="s">
        <v>66</v>
      </c>
      <c r="C373" s="111">
        <v>0</v>
      </c>
      <c r="D373" s="111">
        <v>1</v>
      </c>
      <c r="E373" s="111">
        <v>10</v>
      </c>
      <c r="F373" s="111">
        <v>2</v>
      </c>
      <c r="G373" s="111">
        <v>0</v>
      </c>
      <c r="H373" s="111">
        <f>SUM(C373:G373)</f>
        <v>13</v>
      </c>
      <c r="I373" s="112"/>
      <c r="J373" s="112"/>
      <c r="K373" s="112"/>
      <c r="L373" s="47">
        <f>((C373*$C$5)+(D373*$D$5)+(E373*$E$5)+(F373*$F$5)+(G373*$G$5))</f>
        <v>927.38799999999992</v>
      </c>
      <c r="M373" s="113">
        <v>66.67</v>
      </c>
      <c r="N373" s="493">
        <v>0</v>
      </c>
      <c r="O373" s="490">
        <f>P10</f>
        <v>64</v>
      </c>
      <c r="P373" s="50">
        <f>(C373+D373+E373+F373+G373)*O373</f>
        <v>832</v>
      </c>
      <c r="Q373" s="51">
        <f>M373*O373</f>
        <v>4266.88</v>
      </c>
      <c r="R373" s="51">
        <f>N373*O373</f>
        <v>0</v>
      </c>
      <c r="S373" s="52">
        <f>(L373+M373+N373)*O373</f>
        <v>63619.711999999992</v>
      </c>
      <c r="T373" s="841" t="s">
        <v>408</v>
      </c>
      <c r="U373" s="842">
        <f>IF($T373="RP",O373,"")</f>
        <v>64</v>
      </c>
      <c r="V373" s="842">
        <f>IF($T373="RP",P373,"")</f>
        <v>832</v>
      </c>
      <c r="W373" s="842">
        <f>IF($T373="RP",SUM(Q373:R373),"")</f>
        <v>4266.88</v>
      </c>
      <c r="X373" s="842" t="str">
        <f>IF($T373="RK",O373,"")</f>
        <v/>
      </c>
      <c r="Y373" s="842" t="str">
        <f>IF($T373="RK",P373,"")</f>
        <v/>
      </c>
      <c r="Z373" s="843" t="str">
        <f>IF($T373="Rk",SUM(Q373:R373),"")</f>
        <v/>
      </c>
      <c r="AA373" s="1"/>
      <c r="AB373" s="1"/>
      <c r="IQ373" s="86"/>
      <c r="IR373" s="86"/>
      <c r="IS373" s="86"/>
      <c r="IT373" s="86"/>
      <c r="IU373" s="86"/>
      <c r="IV373" s="86"/>
    </row>
    <row r="374" spans="1:256" s="73" customFormat="1" ht="12.75" thickTop="1" thickBot="1">
      <c r="A374" s="53" t="s">
        <v>29</v>
      </c>
      <c r="B374" s="54"/>
      <c r="C374" s="55">
        <f t="shared" ref="C374:H374" si="118">C373</f>
        <v>0</v>
      </c>
      <c r="D374" s="55">
        <f t="shared" si="118"/>
        <v>1</v>
      </c>
      <c r="E374" s="55">
        <f t="shared" si="118"/>
        <v>10</v>
      </c>
      <c r="F374" s="55">
        <f t="shared" si="118"/>
        <v>2</v>
      </c>
      <c r="G374" s="55">
        <f t="shared" si="118"/>
        <v>0</v>
      </c>
      <c r="H374" s="55">
        <f t="shared" si="118"/>
        <v>13</v>
      </c>
      <c r="I374" s="56">
        <f>I372</f>
        <v>0</v>
      </c>
      <c r="J374" s="56">
        <f>J372</f>
        <v>0</v>
      </c>
      <c r="K374" s="56">
        <f>K372</f>
        <v>0</v>
      </c>
      <c r="L374" s="57">
        <f>L373</f>
        <v>927.38799999999992</v>
      </c>
      <c r="M374" s="57">
        <f>M373</f>
        <v>66.67</v>
      </c>
      <c r="N374" s="58">
        <f>N373</f>
        <v>0</v>
      </c>
      <c r="O374" s="308"/>
      <c r="P374" s="122">
        <f>P373</f>
        <v>832</v>
      </c>
      <c r="Q374" s="57">
        <f>Q373</f>
        <v>4266.88</v>
      </c>
      <c r="R374" s="57">
        <f>R373</f>
        <v>0</v>
      </c>
      <c r="S374" s="57">
        <f>S373</f>
        <v>63619.711999999992</v>
      </c>
      <c r="T374" s="57"/>
      <c r="U374" s="853">
        <f t="shared" ref="U374:Z374" si="119">U373</f>
        <v>64</v>
      </c>
      <c r="V374" s="853">
        <f t="shared" si="119"/>
        <v>832</v>
      </c>
      <c r="W374" s="57">
        <f t="shared" si="119"/>
        <v>4266.88</v>
      </c>
      <c r="X374" s="853" t="str">
        <f t="shared" si="119"/>
        <v/>
      </c>
      <c r="Y374" s="853" t="str">
        <f t="shared" si="119"/>
        <v/>
      </c>
      <c r="Z374" s="57" t="str">
        <f t="shared" si="119"/>
        <v/>
      </c>
      <c r="AA374" s="1"/>
      <c r="AB374" s="1"/>
      <c r="IQ374" s="86"/>
      <c r="IR374" s="86"/>
      <c r="IS374" s="86"/>
      <c r="IT374" s="86"/>
      <c r="IU374" s="86"/>
      <c r="IV374" s="86"/>
    </row>
    <row r="375" spans="1:256" s="73" customFormat="1" ht="12" thickTop="1">
      <c r="A375" s="362" t="s">
        <v>275</v>
      </c>
      <c r="B375" s="363"/>
      <c r="C375" s="135"/>
      <c r="D375" s="135"/>
      <c r="E375" s="135"/>
      <c r="F375" s="135"/>
      <c r="G375" s="135"/>
      <c r="H375" s="135"/>
      <c r="I375" s="136"/>
      <c r="J375" s="136"/>
      <c r="K375" s="136"/>
      <c r="L375" s="137"/>
      <c r="M375" s="137"/>
      <c r="N375" s="285"/>
      <c r="O375" s="140"/>
      <c r="P375" s="140"/>
      <c r="Q375" s="141"/>
      <c r="R375" s="141"/>
      <c r="S375" s="142"/>
      <c r="T375" s="508"/>
      <c r="U375" s="783"/>
      <c r="V375" s="783"/>
      <c r="X375" s="855"/>
      <c r="Y375" s="783"/>
      <c r="Z375" s="1"/>
      <c r="AA375" s="1"/>
      <c r="AB375" s="1"/>
      <c r="IQ375" s="86"/>
      <c r="IR375" s="86"/>
      <c r="IS375" s="86"/>
      <c r="IT375" s="86"/>
      <c r="IU375" s="86"/>
      <c r="IV375" s="86"/>
    </row>
    <row r="376" spans="1:256" s="73" customFormat="1">
      <c r="A376" s="339"/>
      <c r="B376" s="340" t="s">
        <v>210</v>
      </c>
      <c r="C376" s="131"/>
      <c r="D376" s="131"/>
      <c r="E376" s="131"/>
      <c r="F376" s="131"/>
      <c r="G376" s="131"/>
      <c r="H376" s="131"/>
      <c r="I376" s="132"/>
      <c r="J376" s="132"/>
      <c r="K376" s="132"/>
      <c r="L376" s="161"/>
      <c r="M376" s="161"/>
      <c r="N376" s="265"/>
      <c r="O376" s="163"/>
      <c r="P376" s="163"/>
      <c r="Q376" s="164"/>
      <c r="R376" s="164"/>
      <c r="S376" s="161"/>
      <c r="T376" s="508"/>
      <c r="U376" s="783"/>
      <c r="V376" s="783"/>
      <c r="X376" s="855"/>
      <c r="Y376" s="783"/>
      <c r="Z376" s="1"/>
      <c r="AA376" s="1"/>
      <c r="AB376" s="1"/>
      <c r="IQ376" s="86"/>
      <c r="IR376" s="86"/>
      <c r="IS376" s="86"/>
      <c r="IT376" s="86"/>
      <c r="IU376" s="86"/>
      <c r="IV376" s="86"/>
    </row>
    <row r="377" spans="1:256" s="73" customFormat="1">
      <c r="A377" s="339"/>
      <c r="B377" s="340" t="s">
        <v>211</v>
      </c>
      <c r="C377" s="131"/>
      <c r="D377" s="131"/>
      <c r="E377" s="131"/>
      <c r="F377" s="131"/>
      <c r="G377" s="131"/>
      <c r="H377" s="131"/>
      <c r="I377" s="132"/>
      <c r="J377" s="132"/>
      <c r="K377" s="132"/>
      <c r="L377" s="161"/>
      <c r="M377" s="161"/>
      <c r="N377" s="265"/>
      <c r="O377" s="163"/>
      <c r="P377" s="163"/>
      <c r="Q377" s="164"/>
      <c r="R377" s="164"/>
      <c r="S377" s="161"/>
      <c r="T377" s="508"/>
      <c r="U377" s="783"/>
      <c r="V377" s="783"/>
      <c r="X377" s="855"/>
      <c r="Y377" s="783"/>
      <c r="Z377" s="1"/>
      <c r="AA377" s="1"/>
      <c r="AB377" s="1"/>
      <c r="IQ377" s="86"/>
      <c r="IR377" s="86"/>
      <c r="IS377" s="86"/>
      <c r="IT377" s="86"/>
      <c r="IU377" s="86"/>
      <c r="IV377" s="86"/>
    </row>
    <row r="378" spans="1:256" s="73" customFormat="1" ht="12" thickBot="1">
      <c r="A378" s="362"/>
      <c r="B378" s="446" t="s">
        <v>212</v>
      </c>
      <c r="C378" s="167">
        <v>0</v>
      </c>
      <c r="D378" s="167">
        <v>0.25</v>
      </c>
      <c r="E378" s="167">
        <v>2</v>
      </c>
      <c r="F378" s="167">
        <v>0.5</v>
      </c>
      <c r="G378" s="167">
        <v>0</v>
      </c>
      <c r="H378" s="167">
        <f>SUM(C378:G378)</f>
        <v>2.75</v>
      </c>
      <c r="I378" s="168"/>
      <c r="J378" s="168"/>
      <c r="K378" s="168"/>
      <c r="L378" s="142">
        <f>((C378*$C$5)+(D378*$D$5)+(E378*$E$5)+(F378*$F$5))</f>
        <v>193.94199999999998</v>
      </c>
      <c r="M378" s="142">
        <v>0</v>
      </c>
      <c r="N378" s="285">
        <v>8</v>
      </c>
      <c r="O378" s="170">
        <f>0.25*P45</f>
        <v>3.2</v>
      </c>
      <c r="P378" s="170">
        <f>(C378+D378+E378+F378)*O378</f>
        <v>8.8000000000000007</v>
      </c>
      <c r="Q378" s="171">
        <f>M378*O378</f>
        <v>0</v>
      </c>
      <c r="R378" s="171">
        <f>N378*O378</f>
        <v>25.6</v>
      </c>
      <c r="S378" s="142">
        <f>(L378+M378+N378)*O378</f>
        <v>646.21439999999996</v>
      </c>
      <c r="T378" s="841" t="s">
        <v>408</v>
      </c>
      <c r="U378" s="842">
        <f>IF($T378="RP",O378,"")</f>
        <v>3.2</v>
      </c>
      <c r="V378" s="842">
        <f>IF($T378="RP",P378,"")</f>
        <v>8.8000000000000007</v>
      </c>
      <c r="W378" s="842">
        <f>IF($T378="RP",SUM(Q378:R378),"")</f>
        <v>25.6</v>
      </c>
      <c r="X378" s="842" t="str">
        <f>IF($T378="RK",O378,"")</f>
        <v/>
      </c>
      <c r="Y378" s="842" t="str">
        <f>IF($T378="RK",P378,"")</f>
        <v/>
      </c>
      <c r="Z378" s="843" t="str">
        <f>IF($T378="Rk",SUM(Q378:R378),"")</f>
        <v/>
      </c>
      <c r="AA378" s="1"/>
      <c r="AB378" s="1"/>
      <c r="IQ378" s="86"/>
      <c r="IR378" s="86"/>
      <c r="IS378" s="86"/>
      <c r="IT378" s="86"/>
      <c r="IU378" s="86"/>
      <c r="IV378" s="86"/>
    </row>
    <row r="379" spans="1:256" s="73" customFormat="1" ht="12.75" thickTop="1" thickBot="1">
      <c r="A379" s="578" t="s">
        <v>29</v>
      </c>
      <c r="B379" s="421"/>
      <c r="C379" s="173">
        <f t="shared" ref="C379:N379" si="120">SUM(C377:C378)</f>
        <v>0</v>
      </c>
      <c r="D379" s="173">
        <f t="shared" si="120"/>
        <v>0.25</v>
      </c>
      <c r="E379" s="173">
        <f t="shared" si="120"/>
        <v>2</v>
      </c>
      <c r="F379" s="173">
        <f t="shared" si="120"/>
        <v>0.5</v>
      </c>
      <c r="G379" s="173">
        <f t="shared" si="120"/>
        <v>0</v>
      </c>
      <c r="H379" s="173">
        <f t="shared" si="120"/>
        <v>2.75</v>
      </c>
      <c r="I379" s="174">
        <f t="shared" si="120"/>
        <v>0</v>
      </c>
      <c r="J379" s="174">
        <f t="shared" si="120"/>
        <v>0</v>
      </c>
      <c r="K379" s="174">
        <f t="shared" si="120"/>
        <v>0</v>
      </c>
      <c r="L379" s="72">
        <f t="shared" si="120"/>
        <v>193.94199999999998</v>
      </c>
      <c r="M379" s="72">
        <f t="shared" si="120"/>
        <v>0</v>
      </c>
      <c r="N379" s="69">
        <f t="shared" si="120"/>
        <v>8</v>
      </c>
      <c r="O379" s="178"/>
      <c r="P379" s="178">
        <f>SUM(P377:P378)</f>
        <v>8.8000000000000007</v>
      </c>
      <c r="Q379" s="179">
        <f>SUM(Q377:Q378)</f>
        <v>0</v>
      </c>
      <c r="R379" s="179">
        <f>SUM(R377:R378)</f>
        <v>25.6</v>
      </c>
      <c r="S379" s="72">
        <f>SUM(S377:S378)</f>
        <v>646.21439999999996</v>
      </c>
      <c r="T379" s="72"/>
      <c r="U379" s="850">
        <f t="shared" ref="U379:Z379" si="121">SUM(U377:U378)</f>
        <v>3.2</v>
      </c>
      <c r="V379" s="850">
        <f t="shared" si="121"/>
        <v>8.8000000000000007</v>
      </c>
      <c r="W379" s="72">
        <f t="shared" si="121"/>
        <v>25.6</v>
      </c>
      <c r="X379" s="850">
        <f t="shared" si="121"/>
        <v>0</v>
      </c>
      <c r="Y379" s="850">
        <f t="shared" si="121"/>
        <v>0</v>
      </c>
      <c r="Z379" s="72">
        <f t="shared" si="121"/>
        <v>0</v>
      </c>
      <c r="AA379" s="1"/>
      <c r="AB379" s="1"/>
      <c r="IQ379" s="86"/>
      <c r="IR379" s="86"/>
      <c r="IS379" s="86"/>
      <c r="IT379" s="86"/>
      <c r="IU379" s="86"/>
      <c r="IV379" s="86"/>
    </row>
    <row r="380" spans="1:256" s="73" customFormat="1" ht="12.75" thickTop="1" thickBot="1">
      <c r="A380" s="64"/>
      <c r="B380" s="65"/>
      <c r="C380" s="66"/>
      <c r="D380" s="66"/>
      <c r="E380" s="66"/>
      <c r="F380" s="66"/>
      <c r="G380" s="66"/>
      <c r="H380" s="66"/>
      <c r="I380" s="67"/>
      <c r="J380" s="67"/>
      <c r="K380" s="67"/>
      <c r="L380" s="68"/>
      <c r="M380" s="68"/>
      <c r="N380" s="69"/>
      <c r="O380" s="236"/>
      <c r="P380" s="237"/>
      <c r="Q380" s="68"/>
      <c r="R380" s="68"/>
      <c r="S380" s="72"/>
      <c r="T380" s="508"/>
      <c r="U380" s="784"/>
      <c r="V380" s="784"/>
      <c r="X380" s="855"/>
      <c r="Y380" s="784"/>
      <c r="Z380" s="86"/>
      <c r="AA380" s="86"/>
      <c r="AB380" s="86"/>
      <c r="IQ380" s="86"/>
      <c r="IR380" s="86"/>
      <c r="IS380" s="86"/>
      <c r="IT380" s="86"/>
      <c r="IU380" s="86"/>
      <c r="IV380" s="86"/>
    </row>
    <row r="381" spans="1:256" s="73" customFormat="1" ht="12.75" thickTop="1" thickBot="1">
      <c r="A381" s="239" t="s">
        <v>268</v>
      </c>
      <c r="B381" s="240"/>
      <c r="C381" s="241"/>
      <c r="D381" s="241"/>
      <c r="E381" s="241"/>
      <c r="F381" s="241"/>
      <c r="G381" s="241"/>
      <c r="H381" s="579">
        <f>SUM(H357,H361,H379,H366,H370,H374)</f>
        <v>94.5</v>
      </c>
      <c r="I381" s="56"/>
      <c r="J381" s="56"/>
      <c r="K381" s="56"/>
      <c r="L381" s="62">
        <f>SUM(L357,L361,L379,L366,L370,L374)</f>
        <v>4612.6360000000004</v>
      </c>
      <c r="M381" s="62">
        <f>SUM(M357,M361,M379,M366,M370,M374)</f>
        <v>200.01</v>
      </c>
      <c r="N381" s="62">
        <f>SUM(N357,N361,N379,N366,N370,N374)</f>
        <v>32</v>
      </c>
      <c r="O381" s="59"/>
      <c r="P381" s="580">
        <f>SUM(P357,P361,P366,P370,P374)</f>
        <v>4942</v>
      </c>
      <c r="Q381" s="62">
        <f>SUM(Q357,Q361,Q366,Q370,Q374)</f>
        <v>12800.64</v>
      </c>
      <c r="R381" s="62">
        <f>SUM(R357,R361,R366,R370,R374)</f>
        <v>345.6</v>
      </c>
      <c r="S381" s="62">
        <f>SUM(S357,S361,S366,S370,S374)</f>
        <v>231747.79520000002</v>
      </c>
      <c r="T381" s="62"/>
      <c r="U381" s="849">
        <f t="shared" ref="U381:Z381" si="122">SUM(U357,U361,U366,U370,U374)</f>
        <v>203.2</v>
      </c>
      <c r="V381" s="849">
        <f>SUM(V357,V361,V366,V370,V374)</f>
        <v>4942</v>
      </c>
      <c r="W381" s="62">
        <f t="shared" si="122"/>
        <v>13146.240000000002</v>
      </c>
      <c r="X381" s="849">
        <f t="shared" si="122"/>
        <v>0</v>
      </c>
      <c r="Y381" s="849">
        <f t="shared" si="122"/>
        <v>0</v>
      </c>
      <c r="Z381" s="62">
        <f t="shared" si="122"/>
        <v>0</v>
      </c>
      <c r="AA381" s="1"/>
      <c r="AB381" s="1"/>
      <c r="IQ381" s="86"/>
      <c r="IR381" s="86"/>
      <c r="IS381" s="86"/>
      <c r="IT381" s="86"/>
      <c r="IU381" s="86"/>
      <c r="IV381" s="86"/>
    </row>
    <row r="382" spans="1:256" s="73" customFormat="1" ht="12" thickTop="1">
      <c r="A382" s="585"/>
      <c r="B382" s="585"/>
      <c r="C382" s="586"/>
      <c r="D382" s="586"/>
      <c r="E382" s="586"/>
      <c r="F382" s="586"/>
      <c r="G382" s="586"/>
      <c r="H382" s="586"/>
      <c r="I382" s="587"/>
      <c r="J382" s="587"/>
      <c r="K382" s="587"/>
      <c r="L382" s="588"/>
      <c r="M382" s="588"/>
      <c r="N382" s="588"/>
      <c r="O382" s="589"/>
      <c r="P382" s="589"/>
      <c r="Q382" s="590"/>
      <c r="R382" s="590"/>
      <c r="S382" s="588"/>
      <c r="T382" s="508"/>
      <c r="U382" s="783"/>
      <c r="V382" s="783"/>
      <c r="X382" s="855"/>
      <c r="Y382" s="783"/>
      <c r="Z382" s="1"/>
      <c r="AA382" s="1"/>
      <c r="AB382" s="1"/>
      <c r="IQ382" s="86"/>
      <c r="IR382" s="86"/>
      <c r="IS382" s="86"/>
      <c r="IT382" s="86"/>
      <c r="IU382" s="86"/>
      <c r="IV382" s="86"/>
    </row>
    <row r="383" spans="1:256" s="73" customFormat="1" ht="12" thickBot="1">
      <c r="A383" s="10"/>
      <c r="B383" s="10"/>
      <c r="C383" s="242"/>
      <c r="D383" s="242"/>
      <c r="E383" s="242"/>
      <c r="F383" s="242"/>
      <c r="G383" s="242"/>
      <c r="H383" s="242"/>
      <c r="I383" s="243"/>
      <c r="J383" s="243"/>
      <c r="K383" s="243"/>
      <c r="L383" s="244"/>
      <c r="M383" s="327"/>
      <c r="N383" s="327"/>
      <c r="O383" s="328"/>
      <c r="P383" s="245"/>
      <c r="Q383" s="246"/>
      <c r="R383" s="246"/>
      <c r="S383" s="244"/>
      <c r="T383" s="508"/>
      <c r="U383" s="783"/>
      <c r="V383" s="783"/>
      <c r="X383" s="855"/>
      <c r="Y383" s="783"/>
      <c r="Z383" s="1"/>
      <c r="AA383" s="1"/>
      <c r="AB383" s="1"/>
      <c r="IQ383" s="86"/>
      <c r="IR383" s="86"/>
      <c r="IS383" s="86"/>
      <c r="IT383" s="86"/>
      <c r="IU383" s="86"/>
      <c r="IV383" s="86"/>
    </row>
    <row r="384" spans="1:256" s="73" customFormat="1" ht="12" thickBot="1">
      <c r="A384" s="1091" t="s">
        <v>255</v>
      </c>
      <c r="B384" s="1092"/>
      <c r="C384" s="1093"/>
      <c r="D384" s="1093"/>
      <c r="E384" s="1093"/>
      <c r="F384" s="1093"/>
      <c r="G384" s="1093"/>
      <c r="H384" s="1093"/>
      <c r="I384" s="1094"/>
      <c r="J384" s="1094"/>
      <c r="K384" s="1094"/>
      <c r="L384" s="1095"/>
      <c r="M384" s="1096"/>
      <c r="N384" s="1097"/>
      <c r="O384" s="1098"/>
      <c r="P384" s="1099"/>
      <c r="Q384" s="1100"/>
      <c r="R384" s="1100"/>
      <c r="S384" s="1101"/>
      <c r="T384" s="1101"/>
      <c r="U384" s="1102"/>
      <c r="V384" s="1102"/>
      <c r="W384" s="1101"/>
      <c r="X384" s="1102"/>
      <c r="Y384" s="1102"/>
      <c r="Z384" s="1103"/>
      <c r="AA384" s="1"/>
      <c r="AB384" s="1"/>
      <c r="AC384" s="229"/>
      <c r="AD384" s="229"/>
      <c r="AE384" s="229"/>
      <c r="AF384" s="229"/>
      <c r="AG384" s="229"/>
      <c r="IQ384" s="86"/>
      <c r="IR384" s="86"/>
      <c r="IS384" s="86"/>
      <c r="IT384" s="86"/>
      <c r="IU384" s="86"/>
      <c r="IV384" s="86"/>
    </row>
    <row r="385" spans="1:256" s="73" customFormat="1">
      <c r="A385" s="153" t="s">
        <v>227</v>
      </c>
      <c r="B385" s="219"/>
      <c r="C385" s="591"/>
      <c r="D385" s="591"/>
      <c r="E385" s="591"/>
      <c r="F385" s="591"/>
      <c r="G385" s="591"/>
      <c r="H385" s="591"/>
      <c r="I385" s="592"/>
      <c r="J385" s="592"/>
      <c r="K385" s="592"/>
      <c r="L385" s="593"/>
      <c r="M385" s="594"/>
      <c r="N385" s="595"/>
      <c r="O385" s="596"/>
      <c r="P385" s="597"/>
      <c r="Q385" s="598"/>
      <c r="R385" s="598"/>
      <c r="S385" s="599"/>
      <c r="T385" s="508"/>
      <c r="U385" s="783"/>
      <c r="V385" s="783"/>
      <c r="X385" s="855"/>
      <c r="Y385" s="783"/>
      <c r="Z385" s="1"/>
      <c r="AA385" s="1"/>
      <c r="AB385" s="1"/>
      <c r="IQ385" s="86"/>
      <c r="IR385" s="86"/>
      <c r="IS385" s="86"/>
      <c r="IT385" s="86"/>
      <c r="IU385" s="86"/>
      <c r="IV385" s="86"/>
    </row>
    <row r="386" spans="1:256" s="73" customFormat="1">
      <c r="A386" s="143"/>
      <c r="B386" s="484" t="s">
        <v>228</v>
      </c>
      <c r="C386" s="600"/>
      <c r="D386" s="600"/>
      <c r="E386" s="600"/>
      <c r="F386" s="600"/>
      <c r="G386" s="600"/>
      <c r="H386" s="600"/>
      <c r="I386" s="601"/>
      <c r="J386" s="601"/>
      <c r="K386" s="601"/>
      <c r="L386" s="602"/>
      <c r="M386" s="603"/>
      <c r="N386" s="604"/>
      <c r="O386" s="605"/>
      <c r="P386" s="606"/>
      <c r="Q386" s="607"/>
      <c r="R386" s="607"/>
      <c r="S386" s="602"/>
      <c r="T386" s="508"/>
      <c r="U386" s="783"/>
      <c r="V386" s="783"/>
      <c r="X386" s="855"/>
      <c r="Y386" s="783"/>
      <c r="Z386" s="1"/>
      <c r="AA386" s="1"/>
      <c r="AB386" s="1"/>
      <c r="IQ386" s="86"/>
      <c r="IR386" s="86"/>
      <c r="IS386" s="86"/>
      <c r="IT386" s="86"/>
      <c r="IU386" s="86"/>
      <c r="IV386" s="86"/>
    </row>
    <row r="387" spans="1:256" s="73" customFormat="1">
      <c r="A387" s="153"/>
      <c r="B387" s="608" t="s">
        <v>258</v>
      </c>
      <c r="C387" s="609">
        <v>0</v>
      </c>
      <c r="D387" s="609">
        <v>4</v>
      </c>
      <c r="E387" s="609">
        <v>24</v>
      </c>
      <c r="F387" s="609">
        <v>2</v>
      </c>
      <c r="G387" s="609">
        <v>0</v>
      </c>
      <c r="H387" s="609">
        <f>SUM(C387:G387)</f>
        <v>30</v>
      </c>
      <c r="I387" s="610"/>
      <c r="J387" s="610"/>
      <c r="K387" s="610"/>
      <c r="L387" s="599">
        <f>((C387*$C$5)+(D387*$D$5)+(E387*$E$5)+(F387*$F$5)+(G387*$G$5))</f>
        <v>2275.5039999999995</v>
      </c>
      <c r="M387" s="611">
        <v>0</v>
      </c>
      <c r="N387" s="595">
        <v>8</v>
      </c>
      <c r="O387" s="612">
        <f>0.1*P10</f>
        <v>6.4</v>
      </c>
      <c r="P387" s="613">
        <f>(C387+D387+E387+F387+G387)*O387</f>
        <v>192</v>
      </c>
      <c r="Q387" s="614">
        <f>M387*O387</f>
        <v>0</v>
      </c>
      <c r="R387" s="614">
        <f>N387*O387</f>
        <v>51.2</v>
      </c>
      <c r="S387" s="599">
        <f>(L387+M387+N387)*O387</f>
        <v>14614.425599999997</v>
      </c>
      <c r="T387" s="841" t="s">
        <v>408</v>
      </c>
      <c r="U387" s="842">
        <f>IF($T387="RP",O387,"")</f>
        <v>6.4</v>
      </c>
      <c r="V387" s="842">
        <f>IF($T387="RP",P387,"")</f>
        <v>192</v>
      </c>
      <c r="W387" s="842">
        <f>IF($T387="RP",SUM(Q387:R387),"")</f>
        <v>51.2</v>
      </c>
      <c r="X387" s="842" t="str">
        <f>IF($T387="RK",O387,"")</f>
        <v/>
      </c>
      <c r="Y387" s="842" t="str">
        <f>IF($T387="RK",P387,"")</f>
        <v/>
      </c>
      <c r="Z387" s="843" t="str">
        <f>IF($T387="Rk",SUM(Q387:R387),"")</f>
        <v/>
      </c>
      <c r="AA387" s="1"/>
      <c r="AB387" s="1"/>
      <c r="IQ387" s="86"/>
      <c r="IR387" s="86"/>
      <c r="IS387" s="86"/>
      <c r="IT387" s="86"/>
      <c r="IU387" s="86"/>
      <c r="IV387" s="86"/>
    </row>
    <row r="388" spans="1:256" s="73" customFormat="1">
      <c r="A388" s="101"/>
      <c r="B388" s="484" t="s">
        <v>228</v>
      </c>
      <c r="C388" s="600"/>
      <c r="D388" s="600"/>
      <c r="E388" s="600"/>
      <c r="F388" s="600"/>
      <c r="G388" s="600"/>
      <c r="H388" s="600"/>
      <c r="I388" s="601"/>
      <c r="J388" s="601"/>
      <c r="K388" s="601"/>
      <c r="L388" s="602"/>
      <c r="M388" s="603"/>
      <c r="N388" s="604"/>
      <c r="O388" s="605"/>
      <c r="P388" s="606"/>
      <c r="Q388" s="607"/>
      <c r="R388" s="607"/>
      <c r="S388" s="602"/>
      <c r="T388" s="508"/>
      <c r="U388" s="783"/>
      <c r="V388" s="783"/>
      <c r="X388" s="855"/>
      <c r="Y388" s="783"/>
      <c r="Z388" s="1"/>
      <c r="AA388" s="1"/>
      <c r="AB388" s="1"/>
      <c r="IQ388" s="86"/>
      <c r="IR388" s="86"/>
      <c r="IS388" s="86"/>
      <c r="IT388" s="86"/>
      <c r="IU388" s="86"/>
      <c r="IV388" s="86"/>
    </row>
    <row r="389" spans="1:256" s="73" customFormat="1" ht="12" thickBot="1">
      <c r="A389" s="129"/>
      <c r="B389" s="484" t="s">
        <v>229</v>
      </c>
      <c r="C389" s="600">
        <v>0</v>
      </c>
      <c r="D389" s="600">
        <v>4</v>
      </c>
      <c r="E389" s="600">
        <v>24</v>
      </c>
      <c r="F389" s="600">
        <v>2</v>
      </c>
      <c r="G389" s="600">
        <v>0</v>
      </c>
      <c r="H389" s="600">
        <f>SUM(C389:G389)</f>
        <v>30</v>
      </c>
      <c r="I389" s="601"/>
      <c r="J389" s="601"/>
      <c r="K389" s="601"/>
      <c r="L389" s="602">
        <f>((C389*$C$5)+(D389*$D$5)+(E389*$E$5)+(F389*$F$5)+(G389*$G$5))</f>
        <v>2275.5039999999995</v>
      </c>
      <c r="M389" s="603">
        <v>0</v>
      </c>
      <c r="N389" s="604">
        <v>8</v>
      </c>
      <c r="O389" s="605">
        <f>0.1*P10</f>
        <v>6.4</v>
      </c>
      <c r="P389" s="606">
        <f>(C389+D389+E389+F389+G389)*O389</f>
        <v>192</v>
      </c>
      <c r="Q389" s="607">
        <f>M389*O389</f>
        <v>0</v>
      </c>
      <c r="R389" s="607">
        <f>N389*O389</f>
        <v>51.2</v>
      </c>
      <c r="S389" s="602">
        <f>(L389+M389+N389)*O389</f>
        <v>14614.425599999997</v>
      </c>
      <c r="T389" s="841" t="s">
        <v>408</v>
      </c>
      <c r="U389" s="842">
        <f>IF($T389="RP",O389,"")</f>
        <v>6.4</v>
      </c>
      <c r="V389" s="842">
        <f>IF($T389="RP",P389,"")</f>
        <v>192</v>
      </c>
      <c r="W389" s="842">
        <f>IF($T389="RP",SUM(Q389:R389),"")</f>
        <v>51.2</v>
      </c>
      <c r="X389" s="842" t="str">
        <f>IF($T389="RK",O389,"")</f>
        <v/>
      </c>
      <c r="Y389" s="842" t="str">
        <f>IF($T389="RK",P389,"")</f>
        <v/>
      </c>
      <c r="Z389" s="843" t="str">
        <f>IF($T389="Rk",SUM(Q389:R389),"")</f>
        <v/>
      </c>
      <c r="AA389" s="1"/>
      <c r="AB389" s="1"/>
      <c r="IQ389" s="86"/>
      <c r="IR389" s="86"/>
      <c r="IS389" s="86"/>
      <c r="IT389" s="86"/>
      <c r="IU389" s="86"/>
      <c r="IV389" s="86"/>
    </row>
    <row r="390" spans="1:256" s="73" customFormat="1" ht="12.75" thickTop="1" thickBot="1">
      <c r="A390" s="615" t="s">
        <v>29</v>
      </c>
      <c r="B390" s="616"/>
      <c r="C390" s="617">
        <f t="shared" ref="C390:N390" si="123">SUM(C387:C389)</f>
        <v>0</v>
      </c>
      <c r="D390" s="617">
        <f t="shared" si="123"/>
        <v>8</v>
      </c>
      <c r="E390" s="617">
        <f t="shared" si="123"/>
        <v>48</v>
      </c>
      <c r="F390" s="617">
        <f t="shared" si="123"/>
        <v>4</v>
      </c>
      <c r="G390" s="617">
        <f t="shared" si="123"/>
        <v>0</v>
      </c>
      <c r="H390" s="617">
        <f t="shared" si="123"/>
        <v>60</v>
      </c>
      <c r="I390" s="618">
        <f t="shared" si="123"/>
        <v>0</v>
      </c>
      <c r="J390" s="618">
        <f t="shared" si="123"/>
        <v>0</v>
      </c>
      <c r="K390" s="618">
        <f t="shared" si="123"/>
        <v>0</v>
      </c>
      <c r="L390" s="619">
        <f t="shared" si="123"/>
        <v>4551.0079999999989</v>
      </c>
      <c r="M390" s="620">
        <f t="shared" si="123"/>
        <v>0</v>
      </c>
      <c r="N390" s="621">
        <f t="shared" si="123"/>
        <v>16</v>
      </c>
      <c r="O390" s="175"/>
      <c r="P390" s="622">
        <f>SUM(P387:P389)</f>
        <v>384</v>
      </c>
      <c r="Q390" s="623">
        <f>SUM(Q387:Q389)</f>
        <v>0</v>
      </c>
      <c r="R390" s="623">
        <f>SUM(R387:R389)</f>
        <v>102.4</v>
      </c>
      <c r="S390" s="619">
        <f>SUM(S387:S389)</f>
        <v>29228.851199999994</v>
      </c>
      <c r="T390" s="619">
        <f t="shared" ref="T390:Z390" si="124">SUM(T387:T389)</f>
        <v>0</v>
      </c>
      <c r="U390" s="865">
        <f t="shared" si="124"/>
        <v>12.8</v>
      </c>
      <c r="V390" s="865">
        <f t="shared" si="124"/>
        <v>384</v>
      </c>
      <c r="W390" s="619">
        <f t="shared" si="124"/>
        <v>102.4</v>
      </c>
      <c r="X390" s="865">
        <f t="shared" si="124"/>
        <v>0</v>
      </c>
      <c r="Y390" s="865">
        <f t="shared" si="124"/>
        <v>0</v>
      </c>
      <c r="Z390" s="619">
        <f t="shared" si="124"/>
        <v>0</v>
      </c>
      <c r="AA390" s="1"/>
      <c r="AB390" s="1"/>
      <c r="IQ390" s="86"/>
      <c r="IR390" s="86"/>
      <c r="IS390" s="86"/>
      <c r="IT390" s="86"/>
      <c r="IU390" s="86"/>
      <c r="IV390" s="86"/>
    </row>
    <row r="391" spans="1:256" s="73" customFormat="1" ht="12.75" thickTop="1" thickBot="1">
      <c r="A391" s="624"/>
      <c r="B391" s="63"/>
      <c r="C391" s="625"/>
      <c r="D391" s="625"/>
      <c r="E391" s="625"/>
      <c r="F391" s="625"/>
      <c r="G391" s="625"/>
      <c r="H391" s="625"/>
      <c r="I391" s="626"/>
      <c r="J391" s="626"/>
      <c r="K391" s="626"/>
      <c r="L391" s="627"/>
      <c r="M391" s="628"/>
      <c r="N391" s="621"/>
      <c r="O391" s="92"/>
      <c r="P391" s="629"/>
      <c r="Q391" s="630"/>
      <c r="R391" s="630"/>
      <c r="S391" s="619"/>
      <c r="T391" s="619"/>
      <c r="U391" s="865"/>
      <c r="V391" s="865"/>
      <c r="W391" s="619"/>
      <c r="X391" s="865"/>
      <c r="Y391" s="865"/>
      <c r="Z391" s="619"/>
      <c r="AA391" s="86"/>
      <c r="AB391" s="86"/>
      <c r="IQ391" s="86"/>
      <c r="IR391" s="86"/>
      <c r="IS391" s="86"/>
      <c r="IT391" s="86"/>
      <c r="IU391" s="86"/>
      <c r="IV391" s="86"/>
    </row>
    <row r="392" spans="1:256" s="73" customFormat="1" ht="12.75" thickTop="1" thickBot="1">
      <c r="A392" s="467" t="s">
        <v>267</v>
      </c>
      <c r="B392" s="631"/>
      <c r="C392" s="617">
        <f t="shared" ref="C392:N392" si="125">C390</f>
        <v>0</v>
      </c>
      <c r="D392" s="617">
        <f t="shared" si="125"/>
        <v>8</v>
      </c>
      <c r="E392" s="617">
        <f t="shared" si="125"/>
        <v>48</v>
      </c>
      <c r="F392" s="617">
        <f t="shared" si="125"/>
        <v>4</v>
      </c>
      <c r="G392" s="617">
        <f t="shared" si="125"/>
        <v>0</v>
      </c>
      <c r="H392" s="617">
        <f t="shared" si="125"/>
        <v>60</v>
      </c>
      <c r="I392" s="618">
        <f t="shared" si="125"/>
        <v>0</v>
      </c>
      <c r="J392" s="618">
        <f t="shared" si="125"/>
        <v>0</v>
      </c>
      <c r="K392" s="618">
        <f t="shared" si="125"/>
        <v>0</v>
      </c>
      <c r="L392" s="619">
        <f t="shared" si="125"/>
        <v>4551.0079999999989</v>
      </c>
      <c r="M392" s="620">
        <f t="shared" si="125"/>
        <v>0</v>
      </c>
      <c r="N392" s="621">
        <f t="shared" si="125"/>
        <v>16</v>
      </c>
      <c r="O392" s="175"/>
      <c r="P392" s="622">
        <f>P390</f>
        <v>384</v>
      </c>
      <c r="Q392" s="623">
        <f>Q390</f>
        <v>0</v>
      </c>
      <c r="R392" s="623">
        <f>R390</f>
        <v>102.4</v>
      </c>
      <c r="S392" s="619">
        <f>S390</f>
        <v>29228.851199999994</v>
      </c>
      <c r="T392" s="619">
        <f t="shared" ref="T392:Z392" si="126">T390</f>
        <v>0</v>
      </c>
      <c r="U392" s="865">
        <f t="shared" si="126"/>
        <v>12.8</v>
      </c>
      <c r="V392" s="865">
        <f t="shared" si="126"/>
        <v>384</v>
      </c>
      <c r="W392" s="619">
        <f t="shared" si="126"/>
        <v>102.4</v>
      </c>
      <c r="X392" s="865">
        <f t="shared" si="126"/>
        <v>0</v>
      </c>
      <c r="Y392" s="865">
        <f t="shared" si="126"/>
        <v>0</v>
      </c>
      <c r="Z392" s="619">
        <f t="shared" si="126"/>
        <v>0</v>
      </c>
      <c r="AA392" s="1"/>
      <c r="AB392" s="1"/>
      <c r="IQ392" s="86"/>
      <c r="IR392" s="86"/>
      <c r="IS392" s="86"/>
      <c r="IT392" s="86"/>
      <c r="IU392" s="86"/>
      <c r="IV392" s="86"/>
    </row>
    <row r="393" spans="1:256" s="73" customFormat="1" ht="12" thickTop="1">
      <c r="C393" s="242"/>
      <c r="D393" s="242"/>
      <c r="E393" s="242"/>
      <c r="F393" s="242"/>
      <c r="G393" s="242"/>
      <c r="H393" s="242"/>
      <c r="I393" s="243"/>
      <c r="J393" s="243"/>
      <c r="K393" s="243"/>
      <c r="L393" s="244"/>
      <c r="M393" s="327"/>
      <c r="N393" s="327"/>
      <c r="O393" s="328"/>
      <c r="P393" s="245"/>
      <c r="Q393" s="246"/>
      <c r="R393" s="246"/>
      <c r="S393" s="244"/>
      <c r="T393" s="508"/>
      <c r="U393" s="783"/>
      <c r="V393" s="783"/>
      <c r="X393" s="855"/>
      <c r="Y393" s="783"/>
      <c r="Z393" s="1"/>
      <c r="AA393" s="1"/>
      <c r="AB393" s="1"/>
      <c r="IQ393" s="86"/>
      <c r="IR393" s="86"/>
      <c r="IS393" s="86"/>
      <c r="IT393" s="86"/>
      <c r="IU393" s="86"/>
      <c r="IV393" s="86"/>
    </row>
    <row r="394" spans="1:256" s="73" customFormat="1">
      <c r="C394" s="242"/>
      <c r="D394" s="242"/>
      <c r="E394" s="242"/>
      <c r="F394" s="242"/>
      <c r="G394" s="242"/>
      <c r="H394" s="242"/>
      <c r="I394" s="243"/>
      <c r="J394" s="243"/>
      <c r="K394" s="243"/>
      <c r="L394" s="244"/>
      <c r="M394" s="327"/>
      <c r="N394" s="327"/>
      <c r="O394" s="328"/>
      <c r="P394" s="245"/>
      <c r="Q394" s="246"/>
      <c r="R394" s="246"/>
      <c r="S394" s="244"/>
      <c r="T394" s="508"/>
      <c r="U394" s="783"/>
      <c r="V394" s="783"/>
      <c r="X394" s="855"/>
      <c r="Y394" s="783"/>
      <c r="Z394" s="1"/>
      <c r="AA394" s="1"/>
      <c r="AB394" s="1"/>
      <c r="IQ394" s="86"/>
      <c r="IR394" s="86"/>
      <c r="IS394" s="86"/>
      <c r="IT394" s="86"/>
      <c r="IU394" s="86"/>
      <c r="IV394" s="86"/>
    </row>
    <row r="395" spans="1:256" s="73" customFormat="1" ht="12" thickBot="1">
      <c r="C395" s="242"/>
      <c r="D395" s="242"/>
      <c r="E395" s="242"/>
      <c r="F395" s="242"/>
      <c r="G395" s="242"/>
      <c r="H395" s="242"/>
      <c r="I395" s="243"/>
      <c r="J395" s="243"/>
      <c r="K395" s="243"/>
      <c r="L395" s="244"/>
      <c r="M395" s="327"/>
      <c r="N395" s="327"/>
      <c r="O395" s="328"/>
      <c r="P395" s="245"/>
      <c r="Q395" s="246"/>
      <c r="R395" s="246"/>
      <c r="S395" s="244"/>
      <c r="T395" s="508"/>
      <c r="U395" s="783"/>
      <c r="V395" s="783"/>
      <c r="X395" s="855"/>
      <c r="Y395" s="783"/>
      <c r="Z395" s="1"/>
      <c r="AA395" s="1"/>
      <c r="AB395" s="1"/>
      <c r="IQ395" s="86"/>
      <c r="IR395" s="86"/>
      <c r="IS395" s="86"/>
      <c r="IT395" s="86"/>
      <c r="IU395" s="86"/>
      <c r="IV395" s="86"/>
    </row>
    <row r="396" spans="1:256" s="73" customFormat="1" ht="12" thickBot="1">
      <c r="A396" s="959" t="s">
        <v>256</v>
      </c>
      <c r="B396" s="960"/>
      <c r="C396" s="1078"/>
      <c r="D396" s="1078"/>
      <c r="E396" s="1078"/>
      <c r="F396" s="1078"/>
      <c r="G396" s="1078"/>
      <c r="H396" s="1078"/>
      <c r="I396" s="1079"/>
      <c r="J396" s="1079"/>
      <c r="K396" s="1079"/>
      <c r="L396" s="1080"/>
      <c r="M396" s="1081"/>
      <c r="N396" s="1087"/>
      <c r="O396" s="1082"/>
      <c r="P396" s="1083"/>
      <c r="Q396" s="1084"/>
      <c r="R396" s="1084"/>
      <c r="S396" s="1084"/>
      <c r="T396" s="1084"/>
      <c r="U396" s="1089"/>
      <c r="V396" s="1089"/>
      <c r="W396" s="1084"/>
      <c r="X396" s="1089"/>
      <c r="Y396" s="1089"/>
      <c r="Z396" s="1090"/>
      <c r="AA396" s="1"/>
      <c r="AB396" s="1"/>
      <c r="AC396" s="229"/>
      <c r="AD396" s="229"/>
      <c r="AE396" s="229"/>
      <c r="AF396" s="229"/>
      <c r="AG396" s="229"/>
      <c r="IQ396" s="86"/>
      <c r="IR396" s="86"/>
      <c r="IS396" s="86"/>
      <c r="IT396" s="86"/>
      <c r="IU396" s="86"/>
      <c r="IV396" s="86"/>
    </row>
    <row r="397" spans="1:256" s="73" customFormat="1">
      <c r="A397" s="433" t="s">
        <v>230</v>
      </c>
      <c r="B397" s="330"/>
      <c r="C397" s="331"/>
      <c r="D397" s="331"/>
      <c r="E397" s="331"/>
      <c r="F397" s="331"/>
      <c r="G397" s="331"/>
      <c r="H397" s="331"/>
      <c r="I397" s="332"/>
      <c r="J397" s="332"/>
      <c r="K397" s="332"/>
      <c r="L397" s="333"/>
      <c r="M397" s="333"/>
      <c r="N397" s="334"/>
      <c r="O397" s="335"/>
      <c r="P397" s="336"/>
      <c r="Q397" s="337"/>
      <c r="R397" s="337"/>
      <c r="S397" s="338"/>
      <c r="T397" s="508"/>
      <c r="U397" s="783"/>
      <c r="V397" s="783"/>
      <c r="X397" s="855"/>
      <c r="Y397" s="783"/>
      <c r="Z397" s="1"/>
      <c r="AA397" s="1"/>
      <c r="AB397" s="1"/>
      <c r="IQ397" s="86"/>
      <c r="IR397" s="86"/>
      <c r="IS397" s="86"/>
      <c r="IT397" s="86"/>
      <c r="IU397" s="86"/>
      <c r="IV397" s="86"/>
    </row>
    <row r="398" spans="1:256" s="73" customFormat="1">
      <c r="A398" s="632"/>
      <c r="B398" s="633" t="s">
        <v>231</v>
      </c>
      <c r="C398" s="634">
        <v>0</v>
      </c>
      <c r="D398" s="634">
        <v>8</v>
      </c>
      <c r="E398" s="634">
        <v>100</v>
      </c>
      <c r="F398" s="634">
        <v>12</v>
      </c>
      <c r="G398" s="634">
        <v>40</v>
      </c>
      <c r="H398" s="634">
        <f>SUM(C398:G398)</f>
        <v>160</v>
      </c>
      <c r="I398" s="635">
        <f t="shared" ref="I398:K400" si="127">D398*$O398</f>
        <v>256</v>
      </c>
      <c r="J398" s="635">
        <f t="shared" si="127"/>
        <v>3200</v>
      </c>
      <c r="K398" s="635">
        <f t="shared" si="127"/>
        <v>384</v>
      </c>
      <c r="L398" s="636">
        <f>((C398*$C$5)+(D398*$D$5)+(E398*$E$5)+(F398*$F$5)+(G398*$G$5))</f>
        <v>12611.591999999999</v>
      </c>
      <c r="M398" s="637">
        <v>0</v>
      </c>
      <c r="N398" s="638">
        <v>0</v>
      </c>
      <c r="O398" s="887">
        <f>P10*50%</f>
        <v>32</v>
      </c>
      <c r="P398" s="890">
        <f>(C398+D398+E398+F398+G398)*O398</f>
        <v>5120</v>
      </c>
      <c r="Q398" s="227">
        <f>M398*O398</f>
        <v>0</v>
      </c>
      <c r="R398" s="227">
        <f>N398*O398</f>
        <v>0</v>
      </c>
      <c r="S398" s="191">
        <f>(L398+M398+N398)*O398</f>
        <v>403570.94399999996</v>
      </c>
      <c r="T398" s="841" t="s">
        <v>408</v>
      </c>
      <c r="U398" s="842">
        <f t="shared" ref="U398:V400" si="128">IF($T398="RP",O398,"")</f>
        <v>32</v>
      </c>
      <c r="V398" s="842">
        <f t="shared" si="128"/>
        <v>5120</v>
      </c>
      <c r="W398" s="842">
        <f>IF($T398="RP",SUM(Q398:R398),"")</f>
        <v>0</v>
      </c>
      <c r="X398" s="842" t="str">
        <f t="shared" ref="X398:Y400" si="129">IF($T398="RK",O398,"")</f>
        <v/>
      </c>
      <c r="Y398" s="842" t="str">
        <f t="shared" si="129"/>
        <v/>
      </c>
      <c r="Z398" s="843" t="str">
        <f>IF($T398="Rk",SUM(Q398:R398),"")</f>
        <v/>
      </c>
      <c r="AA398" s="1"/>
      <c r="AB398" s="1"/>
      <c r="AC398" s="229"/>
      <c r="AD398" s="229"/>
      <c r="AE398" s="229"/>
      <c r="AF398" s="229"/>
      <c r="AG398" s="229"/>
      <c r="IQ398" s="86"/>
      <c r="IR398" s="86"/>
      <c r="IS398" s="86"/>
      <c r="IT398" s="86"/>
      <c r="IU398" s="86"/>
      <c r="IV398" s="86"/>
    </row>
    <row r="399" spans="1:256" s="73" customFormat="1">
      <c r="A399" s="43"/>
      <c r="B399" s="208" t="s">
        <v>232</v>
      </c>
      <c r="C399" s="45">
        <v>0</v>
      </c>
      <c r="D399" s="45">
        <v>1</v>
      </c>
      <c r="E399" s="45">
        <v>8</v>
      </c>
      <c r="F399" s="45">
        <v>1</v>
      </c>
      <c r="G399" s="45">
        <v>0</v>
      </c>
      <c r="H399" s="45">
        <f>SUM(C399:G399)</f>
        <v>10</v>
      </c>
      <c r="I399" s="46">
        <f t="shared" si="127"/>
        <v>6.4</v>
      </c>
      <c r="J399" s="46">
        <f t="shared" si="127"/>
        <v>51.2</v>
      </c>
      <c r="K399" s="46">
        <f t="shared" si="127"/>
        <v>6.4</v>
      </c>
      <c r="L399" s="47">
        <f>((C399*$C$5)+(D399*$D$5)+(E399*$E$5)+(F399*$F$5)+(G399*$G$5))</f>
        <v>738.91999999999985</v>
      </c>
      <c r="M399" s="350">
        <v>0</v>
      </c>
      <c r="N399" s="351">
        <v>0</v>
      </c>
      <c r="O399" s="888">
        <f>0.1*P10</f>
        <v>6.4</v>
      </c>
      <c r="P399" s="803">
        <f>(C399+D399+E399+F399+G399)*O399</f>
        <v>64</v>
      </c>
      <c r="Q399" s="127">
        <f>M399*O399</f>
        <v>0</v>
      </c>
      <c r="R399" s="128">
        <f>N399*O399</f>
        <v>0</v>
      </c>
      <c r="S399" s="52">
        <f>(L399+M399+N399)*O399</f>
        <v>4729.0879999999988</v>
      </c>
      <c r="T399" s="841" t="s">
        <v>408</v>
      </c>
      <c r="U399" s="842">
        <f t="shared" si="128"/>
        <v>6.4</v>
      </c>
      <c r="V399" s="842">
        <f t="shared" si="128"/>
        <v>64</v>
      </c>
      <c r="W399" s="842">
        <f>IF($T399="RP",SUM(Q399:R399),"")</f>
        <v>0</v>
      </c>
      <c r="X399" s="842" t="str">
        <f t="shared" si="129"/>
        <v/>
      </c>
      <c r="Y399" s="842" t="str">
        <f t="shared" si="129"/>
        <v/>
      </c>
      <c r="Z399" s="843" t="str">
        <f>IF($T399="Rk",SUM(Q399:R399),"")</f>
        <v/>
      </c>
      <c r="AA399" s="1"/>
      <c r="AB399" s="1"/>
      <c r="IQ399" s="86"/>
      <c r="IR399" s="86"/>
      <c r="IS399" s="86"/>
      <c r="IT399" s="86"/>
      <c r="IU399" s="86"/>
      <c r="IV399" s="86"/>
    </row>
    <row r="400" spans="1:256" s="73" customFormat="1" ht="12" thickBot="1">
      <c r="A400" s="639"/>
      <c r="B400" s="144" t="s">
        <v>233</v>
      </c>
      <c r="C400" s="111">
        <v>0</v>
      </c>
      <c r="D400" s="111">
        <v>0</v>
      </c>
      <c r="E400" s="111">
        <v>20</v>
      </c>
      <c r="F400" s="111">
        <v>0</v>
      </c>
      <c r="G400" s="111">
        <v>0</v>
      </c>
      <c r="H400" s="45">
        <f>SUM(C400:G400)</f>
        <v>20</v>
      </c>
      <c r="I400" s="46">
        <f t="shared" si="127"/>
        <v>0</v>
      </c>
      <c r="J400" s="46">
        <f t="shared" si="127"/>
        <v>1280</v>
      </c>
      <c r="K400" s="46">
        <f t="shared" si="127"/>
        <v>0</v>
      </c>
      <c r="L400" s="47">
        <f>((C400*$C$5)+(D400*$D$5)+(E400*$E$5)+(F400*$F$5)+(G400*$G$5))</f>
        <v>1516.1999999999998</v>
      </c>
      <c r="M400" s="350">
        <v>0</v>
      </c>
      <c r="N400" s="351">
        <v>0</v>
      </c>
      <c r="O400" s="889">
        <f>P10</f>
        <v>64</v>
      </c>
      <c r="P400" s="803">
        <f>(C400+D400+E400+F400+G400)*O400</f>
        <v>1280</v>
      </c>
      <c r="Q400" s="51">
        <f>M400*O400</f>
        <v>0</v>
      </c>
      <c r="R400" s="51">
        <f>N400*O400</f>
        <v>0</v>
      </c>
      <c r="S400" s="52">
        <f>(L400+M400+N400)*O400</f>
        <v>97036.799999999988</v>
      </c>
      <c r="T400" s="841" t="s">
        <v>408</v>
      </c>
      <c r="U400" s="842">
        <f t="shared" si="128"/>
        <v>64</v>
      </c>
      <c r="V400" s="842">
        <f t="shared" si="128"/>
        <v>1280</v>
      </c>
      <c r="W400" s="842">
        <f>IF($T400="RP",SUM(Q400:R400),"")</f>
        <v>0</v>
      </c>
      <c r="X400" s="842" t="str">
        <f t="shared" si="129"/>
        <v/>
      </c>
      <c r="Y400" s="842" t="str">
        <f t="shared" si="129"/>
        <v/>
      </c>
      <c r="Z400" s="843" t="str">
        <f>IF($T400="Rk",SUM(Q400:R400),"")</f>
        <v/>
      </c>
      <c r="AA400" s="1"/>
      <c r="AB400" s="1"/>
      <c r="IQ400" s="86"/>
      <c r="IR400" s="86"/>
      <c r="IS400" s="86"/>
      <c r="IT400" s="86"/>
      <c r="IU400" s="86"/>
      <c r="IV400" s="86"/>
    </row>
    <row r="401" spans="1:256" s="73" customFormat="1" ht="12.75" thickTop="1" thickBot="1">
      <c r="A401" s="53" t="s">
        <v>29</v>
      </c>
      <c r="B401" s="54"/>
      <c r="C401" s="55">
        <f t="shared" ref="C401:N401" si="130">SUM(C398:C400)</f>
        <v>0</v>
      </c>
      <c r="D401" s="55">
        <f t="shared" si="130"/>
        <v>9</v>
      </c>
      <c r="E401" s="55">
        <f t="shared" si="130"/>
        <v>128</v>
      </c>
      <c r="F401" s="55">
        <f t="shared" si="130"/>
        <v>13</v>
      </c>
      <c r="G401" s="55">
        <f t="shared" si="130"/>
        <v>40</v>
      </c>
      <c r="H401" s="55">
        <f t="shared" si="130"/>
        <v>190</v>
      </c>
      <c r="I401" s="566">
        <f t="shared" si="130"/>
        <v>262.39999999999998</v>
      </c>
      <c r="J401" s="566">
        <f t="shared" si="130"/>
        <v>4531.2</v>
      </c>
      <c r="K401" s="566">
        <f t="shared" si="130"/>
        <v>390.4</v>
      </c>
      <c r="L401" s="57">
        <f t="shared" si="130"/>
        <v>14866.712</v>
      </c>
      <c r="M401" s="62">
        <f t="shared" si="130"/>
        <v>0</v>
      </c>
      <c r="N401" s="58">
        <f t="shared" si="130"/>
        <v>0</v>
      </c>
      <c r="O401" s="59"/>
      <c r="P401" s="891">
        <f>SUM(P398:P400)</f>
        <v>6464</v>
      </c>
      <c r="Q401" s="61">
        <f>SUM(Q398:Q400)</f>
        <v>0</v>
      </c>
      <c r="R401" s="61">
        <f>SUM(R398:R400)</f>
        <v>0</v>
      </c>
      <c r="S401" s="62">
        <f>SUM(S398:S400)</f>
        <v>505336.83199999994</v>
      </c>
      <c r="T401" s="62"/>
      <c r="U401" s="849">
        <f t="shared" ref="U401:Z401" si="131">SUM(U398:U400)</f>
        <v>102.4</v>
      </c>
      <c r="V401" s="849">
        <f t="shared" si="131"/>
        <v>6464</v>
      </c>
      <c r="W401" s="62">
        <f t="shared" si="131"/>
        <v>0</v>
      </c>
      <c r="X401" s="849">
        <f t="shared" si="131"/>
        <v>0</v>
      </c>
      <c r="Y401" s="849">
        <f t="shared" si="131"/>
        <v>0</v>
      </c>
      <c r="Z401" s="62">
        <f t="shared" si="131"/>
        <v>0</v>
      </c>
      <c r="AA401" s="1"/>
      <c r="AB401" s="1"/>
      <c r="IQ401" s="86"/>
      <c r="IR401" s="86"/>
      <c r="IS401" s="86"/>
      <c r="IT401" s="86"/>
      <c r="IU401" s="86"/>
      <c r="IV401" s="86"/>
    </row>
    <row r="402" spans="1:256" s="73" customFormat="1" ht="12" thickTop="1">
      <c r="A402" s="640" t="s">
        <v>234</v>
      </c>
      <c r="B402" s="402"/>
      <c r="C402" s="403"/>
      <c r="D402" s="403"/>
      <c r="E402" s="403"/>
      <c r="F402" s="403"/>
      <c r="G402" s="403"/>
      <c r="H402" s="403"/>
      <c r="I402" s="404"/>
      <c r="J402" s="404"/>
      <c r="K402" s="404"/>
      <c r="L402" s="405"/>
      <c r="M402" s="405"/>
      <c r="N402" s="406"/>
      <c r="O402" s="407"/>
      <c r="P402" s="408"/>
      <c r="Q402" s="409"/>
      <c r="R402" s="409"/>
      <c r="S402" s="410"/>
      <c r="T402" s="9"/>
      <c r="U402" s="783"/>
      <c r="V402" s="783"/>
      <c r="X402" s="855"/>
      <c r="Y402" s="783"/>
      <c r="Z402" s="1"/>
      <c r="AA402" s="1"/>
      <c r="AB402" s="1"/>
      <c r="IQ402" s="86"/>
      <c r="IR402" s="86"/>
      <c r="IS402" s="86"/>
      <c r="IT402" s="86"/>
      <c r="IU402" s="86"/>
      <c r="IV402" s="86"/>
    </row>
    <row r="403" spans="1:256" s="73" customFormat="1">
      <c r="A403" s="632"/>
      <c r="B403" s="633" t="s">
        <v>235</v>
      </c>
      <c r="C403" s="45">
        <v>0</v>
      </c>
      <c r="D403" s="45">
        <v>8</v>
      </c>
      <c r="E403" s="45">
        <v>100</v>
      </c>
      <c r="F403" s="45">
        <v>12</v>
      </c>
      <c r="G403" s="45">
        <v>20</v>
      </c>
      <c r="H403" s="45">
        <f>SUM(C403:G403)</f>
        <v>140</v>
      </c>
      <c r="I403" s="46">
        <f t="shared" ref="I403:K405" si="132">D403*$O403</f>
        <v>512</v>
      </c>
      <c r="J403" s="46">
        <f t="shared" si="132"/>
        <v>6400</v>
      </c>
      <c r="K403" s="46">
        <f t="shared" si="132"/>
        <v>768</v>
      </c>
      <c r="L403" s="47">
        <f>((C403*$C$5)+(D403*$D$5)+(E403*$E$5)+(F403*$F$5)+(G403*$G$5))</f>
        <v>10699.751999999999</v>
      </c>
      <c r="M403" s="350">
        <v>0</v>
      </c>
      <c r="N403" s="351">
        <v>0</v>
      </c>
      <c r="O403" s="49">
        <f>P10</f>
        <v>64</v>
      </c>
      <c r="P403" s="50">
        <f>(C403+D403+E403+F403+G403)*O403</f>
        <v>8960</v>
      </c>
      <c r="Q403" s="51">
        <f>M403*O403</f>
        <v>0</v>
      </c>
      <c r="R403" s="51">
        <f>N403*O403</f>
        <v>0</v>
      </c>
      <c r="S403" s="52">
        <f>(L403+M403+N403)*O403</f>
        <v>684784.12799999991</v>
      </c>
      <c r="T403" s="841" t="s">
        <v>408</v>
      </c>
      <c r="U403" s="842">
        <f t="shared" ref="U403:V405" si="133">IF($T403="RP",O403,"")</f>
        <v>64</v>
      </c>
      <c r="V403" s="842">
        <f t="shared" si="133"/>
        <v>8960</v>
      </c>
      <c r="W403" s="842">
        <f>IF($T403="RP",SUM(Q403:R403),"")</f>
        <v>0</v>
      </c>
      <c r="X403" s="842" t="str">
        <f t="shared" ref="X403:Y405" si="134">IF($T403="RK",O403,"")</f>
        <v/>
      </c>
      <c r="Y403" s="842" t="str">
        <f t="shared" si="134"/>
        <v/>
      </c>
      <c r="Z403" s="843" t="str">
        <f>IF($T403="Rk",SUM(Q403:R403),"")</f>
        <v/>
      </c>
      <c r="AA403" s="1"/>
      <c r="AB403" s="1"/>
      <c r="IQ403" s="86"/>
      <c r="IR403" s="86"/>
      <c r="IS403" s="86"/>
      <c r="IT403" s="86"/>
      <c r="IU403" s="86"/>
      <c r="IV403" s="86"/>
    </row>
    <row r="404" spans="1:256" s="73" customFormat="1">
      <c r="A404" s="43"/>
      <c r="B404" s="208" t="s">
        <v>236</v>
      </c>
      <c r="C404" s="45">
        <v>0</v>
      </c>
      <c r="D404" s="45">
        <v>1</v>
      </c>
      <c r="E404" s="45">
        <v>8</v>
      </c>
      <c r="F404" s="45">
        <v>1</v>
      </c>
      <c r="G404" s="45">
        <v>0</v>
      </c>
      <c r="H404" s="45">
        <f>SUM(C404:G404)</f>
        <v>10</v>
      </c>
      <c r="I404" s="46">
        <f t="shared" si="132"/>
        <v>7.04</v>
      </c>
      <c r="J404" s="46">
        <f t="shared" si="132"/>
        <v>56.32</v>
      </c>
      <c r="K404" s="46">
        <f t="shared" si="132"/>
        <v>7.04</v>
      </c>
      <c r="L404" s="47">
        <f>((C404*$C$5)+(D404*$D$5)+(E404*$E$5)+(F404*$F$5)+(G404*$G$5))</f>
        <v>738.91999999999985</v>
      </c>
      <c r="M404" s="350">
        <v>0</v>
      </c>
      <c r="N404" s="351">
        <v>0</v>
      </c>
      <c r="O404" s="49">
        <f>0.11*P10</f>
        <v>7.04</v>
      </c>
      <c r="P404" s="50">
        <f>(C404+D404+E404+F404+G404)*O404</f>
        <v>70.400000000000006</v>
      </c>
      <c r="Q404" s="127">
        <f>M404*O404</f>
        <v>0</v>
      </c>
      <c r="R404" s="128">
        <f>N404*O404</f>
        <v>0</v>
      </c>
      <c r="S404" s="52">
        <f>(L404+M404+N404)*O404</f>
        <v>5201.996799999999</v>
      </c>
      <c r="T404" s="841" t="s">
        <v>408</v>
      </c>
      <c r="U404" s="842">
        <f t="shared" si="133"/>
        <v>7.04</v>
      </c>
      <c r="V404" s="842">
        <f t="shared" si="133"/>
        <v>70.400000000000006</v>
      </c>
      <c r="W404" s="842">
        <f>IF($T404="RP",SUM(Q404:R404),"")</f>
        <v>0</v>
      </c>
      <c r="X404" s="842" t="str">
        <f t="shared" si="134"/>
        <v/>
      </c>
      <c r="Y404" s="842" t="str">
        <f t="shared" si="134"/>
        <v/>
      </c>
      <c r="Z404" s="843" t="str">
        <f>IF($T404="Rk",SUM(Q404:R404),"")</f>
        <v/>
      </c>
      <c r="AA404" s="1"/>
      <c r="AB404" s="1"/>
      <c r="IQ404" s="86"/>
      <c r="IR404" s="86"/>
      <c r="IS404" s="86"/>
      <c r="IT404" s="86"/>
      <c r="IU404" s="86"/>
      <c r="IV404" s="86"/>
    </row>
    <row r="405" spans="1:256" s="73" customFormat="1" ht="12" thickBot="1">
      <c r="A405" s="478"/>
      <c r="B405" s="144" t="s">
        <v>237</v>
      </c>
      <c r="C405" s="111">
        <v>0</v>
      </c>
      <c r="D405" s="111">
        <v>0</v>
      </c>
      <c r="E405" s="111">
        <v>10</v>
      </c>
      <c r="F405" s="111">
        <v>0</v>
      </c>
      <c r="G405" s="111">
        <v>0</v>
      </c>
      <c r="H405" s="45">
        <f>SUM(C405:G405)</f>
        <v>10</v>
      </c>
      <c r="I405" s="46">
        <f t="shared" si="132"/>
        <v>0</v>
      </c>
      <c r="J405" s="46">
        <f t="shared" si="132"/>
        <v>640</v>
      </c>
      <c r="K405" s="46">
        <f t="shared" si="132"/>
        <v>0</v>
      </c>
      <c r="L405" s="47">
        <f>((C405*$C$5)+(D405*$D$5)+(E405*$E$5)+(F405*$F$5)+(G405*$G$5))</f>
        <v>758.09999999999991</v>
      </c>
      <c r="M405" s="350">
        <v>0</v>
      </c>
      <c r="N405" s="351">
        <v>0</v>
      </c>
      <c r="O405" s="207">
        <f>P10</f>
        <v>64</v>
      </c>
      <c r="P405" s="50">
        <f>(C405+D405+E405+F405+G405)*O405</f>
        <v>640</v>
      </c>
      <c r="Q405" s="51">
        <f>M405*O405</f>
        <v>0</v>
      </c>
      <c r="R405" s="51">
        <f>N405*O405</f>
        <v>0</v>
      </c>
      <c r="S405" s="52">
        <f>(L405+M405+N405)*O405</f>
        <v>48518.399999999994</v>
      </c>
      <c r="T405" s="841" t="s">
        <v>408</v>
      </c>
      <c r="U405" s="842">
        <f t="shared" si="133"/>
        <v>64</v>
      </c>
      <c r="V405" s="842">
        <f t="shared" si="133"/>
        <v>640</v>
      </c>
      <c r="W405" s="842">
        <f>IF($T405="RP",SUM(Q405:R405),"")</f>
        <v>0</v>
      </c>
      <c r="X405" s="842" t="str">
        <f t="shared" si="134"/>
        <v/>
      </c>
      <c r="Y405" s="842" t="str">
        <f t="shared" si="134"/>
        <v/>
      </c>
      <c r="Z405" s="843" t="str">
        <f>IF($T405="Rk",SUM(Q405:R405),"")</f>
        <v/>
      </c>
      <c r="AA405" s="1"/>
      <c r="AB405" s="1"/>
      <c r="IQ405" s="86"/>
      <c r="IR405" s="86"/>
      <c r="IS405" s="86"/>
      <c r="IT405" s="86"/>
      <c r="IU405" s="86"/>
      <c r="IV405" s="86"/>
    </row>
    <row r="406" spans="1:256" s="73" customFormat="1" ht="12.75" thickTop="1" thickBot="1">
      <c r="A406" s="64" t="s">
        <v>29</v>
      </c>
      <c r="B406" s="54"/>
      <c r="C406" s="55">
        <f t="shared" ref="C406:N406" si="135">SUM(C403:C405)</f>
        <v>0</v>
      </c>
      <c r="D406" s="55">
        <f t="shared" si="135"/>
        <v>9</v>
      </c>
      <c r="E406" s="55">
        <f t="shared" si="135"/>
        <v>118</v>
      </c>
      <c r="F406" s="55">
        <f t="shared" si="135"/>
        <v>13</v>
      </c>
      <c r="G406" s="55">
        <f t="shared" si="135"/>
        <v>20</v>
      </c>
      <c r="H406" s="55">
        <f t="shared" si="135"/>
        <v>160</v>
      </c>
      <c r="I406" s="566">
        <f t="shared" si="135"/>
        <v>519.04</v>
      </c>
      <c r="J406" s="566">
        <f t="shared" si="135"/>
        <v>7096.32</v>
      </c>
      <c r="K406" s="566">
        <f t="shared" si="135"/>
        <v>775.04</v>
      </c>
      <c r="L406" s="57">
        <f t="shared" si="135"/>
        <v>12196.771999999999</v>
      </c>
      <c r="M406" s="62">
        <f t="shared" si="135"/>
        <v>0</v>
      </c>
      <c r="N406" s="58">
        <f t="shared" si="135"/>
        <v>0</v>
      </c>
      <c r="O406" s="59"/>
      <c r="P406" s="60">
        <f>SUM(P403:P405)</f>
        <v>9670.4</v>
      </c>
      <c r="Q406" s="61">
        <f>SUM(Q403:Q405)</f>
        <v>0</v>
      </c>
      <c r="R406" s="61">
        <f>SUM(R403:R405)</f>
        <v>0</v>
      </c>
      <c r="S406" s="62">
        <f>SUM(S403:S405)</f>
        <v>738504.5247999999</v>
      </c>
      <c r="T406" s="62"/>
      <c r="U406" s="849">
        <f t="shared" ref="U406:Z406" si="136">SUM(U403:U405)</f>
        <v>135.04000000000002</v>
      </c>
      <c r="V406" s="849">
        <f t="shared" si="136"/>
        <v>9670.4</v>
      </c>
      <c r="W406" s="62">
        <f t="shared" si="136"/>
        <v>0</v>
      </c>
      <c r="X406" s="849">
        <f t="shared" si="136"/>
        <v>0</v>
      </c>
      <c r="Y406" s="849">
        <f t="shared" si="136"/>
        <v>0</v>
      </c>
      <c r="Z406" s="62">
        <f t="shared" si="136"/>
        <v>0</v>
      </c>
      <c r="AA406" s="1"/>
      <c r="AB406" s="1"/>
      <c r="IQ406" s="86"/>
      <c r="IR406" s="86"/>
      <c r="IS406" s="86"/>
      <c r="IT406" s="86"/>
      <c r="IU406" s="86"/>
      <c r="IV406" s="86"/>
    </row>
    <row r="407" spans="1:256" s="73" customFormat="1" ht="12" thickTop="1">
      <c r="A407" s="640" t="s">
        <v>238</v>
      </c>
      <c r="B407" s="402"/>
      <c r="C407" s="403"/>
      <c r="D407" s="403"/>
      <c r="E407" s="403"/>
      <c r="F407" s="403"/>
      <c r="G407" s="403"/>
      <c r="H407" s="403"/>
      <c r="I407" s="404"/>
      <c r="J407" s="404"/>
      <c r="K407" s="404"/>
      <c r="L407" s="405"/>
      <c r="M407" s="405"/>
      <c r="N407" s="406"/>
      <c r="O407" s="407"/>
      <c r="P407" s="408"/>
      <c r="Q407" s="409"/>
      <c r="R407" s="409"/>
      <c r="S407" s="410"/>
      <c r="T407" s="9"/>
      <c r="U407" s="783"/>
      <c r="V407" s="783"/>
      <c r="X407" s="855"/>
      <c r="Y407" s="783"/>
      <c r="Z407" s="1"/>
      <c r="AA407" s="1"/>
      <c r="AB407" s="1"/>
      <c r="IQ407" s="86"/>
      <c r="IR407" s="86"/>
      <c r="IS407" s="86"/>
      <c r="IT407" s="86"/>
      <c r="IU407" s="86"/>
      <c r="IV407" s="86"/>
    </row>
    <row r="408" spans="1:256" s="73" customFormat="1">
      <c r="A408" s="101"/>
      <c r="B408" s="144" t="s">
        <v>239</v>
      </c>
      <c r="C408" s="111"/>
      <c r="D408" s="111"/>
      <c r="E408" s="111"/>
      <c r="F408" s="111"/>
      <c r="G408" s="111"/>
      <c r="H408" s="111"/>
      <c r="I408" s="577"/>
      <c r="J408" s="577"/>
      <c r="K408" s="577"/>
      <c r="L408" s="183"/>
      <c r="M408" s="113"/>
      <c r="N408" s="493"/>
      <c r="O408" s="207"/>
      <c r="P408" s="182"/>
      <c r="Q408" s="51"/>
      <c r="R408" s="51"/>
      <c r="S408" s="183"/>
      <c r="T408" s="9"/>
      <c r="U408" s="783"/>
      <c r="V408" s="783"/>
      <c r="X408" s="855"/>
      <c r="Y408" s="783"/>
      <c r="Z408" s="1"/>
      <c r="AA408" s="1"/>
      <c r="AB408" s="1"/>
      <c r="IQ408" s="86"/>
      <c r="IR408" s="86"/>
      <c r="IS408" s="86"/>
      <c r="IT408" s="86"/>
      <c r="IU408" s="86"/>
      <c r="IV408" s="86"/>
    </row>
    <row r="409" spans="1:256" s="73" customFormat="1">
      <c r="A409" s="153"/>
      <c r="B409" s="154" t="s">
        <v>240</v>
      </c>
      <c r="C409" s="212">
        <v>0</v>
      </c>
      <c r="D409" s="212">
        <v>0</v>
      </c>
      <c r="E409" s="212">
        <v>0</v>
      </c>
      <c r="F409" s="212">
        <v>0</v>
      </c>
      <c r="G409" s="212">
        <v>0</v>
      </c>
      <c r="H409" s="212">
        <f>SUM(C409:G409)</f>
        <v>0</v>
      </c>
      <c r="I409" s="213">
        <f>D409*$O409</f>
        <v>0</v>
      </c>
      <c r="J409" s="213">
        <f>E409*$O409</f>
        <v>0</v>
      </c>
      <c r="K409" s="213">
        <f>F409*$O409</f>
        <v>0</v>
      </c>
      <c r="L409" s="214">
        <f>((C409*$C$5)+(D409*$D$5)+(E409*$E$5)+(F409*$F$5)+(G409*$G$5))</f>
        <v>0</v>
      </c>
      <c r="M409" s="491">
        <v>0</v>
      </c>
      <c r="N409" s="492">
        <v>0</v>
      </c>
      <c r="O409" s="216">
        <f>P10</f>
        <v>64</v>
      </c>
      <c r="P409" s="217">
        <f>(C409+D409+E409+F409+G409)*O409</f>
        <v>0</v>
      </c>
      <c r="Q409" s="218">
        <f>M409*O409</f>
        <v>0</v>
      </c>
      <c r="R409" s="218">
        <f>N409*O409</f>
        <v>0</v>
      </c>
      <c r="S409" s="52">
        <f>(L409+M409+N409)*O409</f>
        <v>0</v>
      </c>
      <c r="T409" s="841" t="s">
        <v>407</v>
      </c>
      <c r="U409" s="842" t="str">
        <f>IF($T409="RP",O409,"")</f>
        <v/>
      </c>
      <c r="V409" s="842" t="str">
        <f>IF($T409="RP",P409,"")</f>
        <v/>
      </c>
      <c r="W409" s="842" t="str">
        <f>IF($T409="RP",SUM(Q409:R409),"")</f>
        <v/>
      </c>
      <c r="X409" s="842">
        <f>IF($T409="RK",O409,"")</f>
        <v>64</v>
      </c>
      <c r="Y409" s="842">
        <f>IF($T409="RK",P409,"")</f>
        <v>0</v>
      </c>
      <c r="Z409" s="843">
        <f>IF($T409="Rk",SUM(Q409:R409),"")</f>
        <v>0</v>
      </c>
      <c r="AA409" s="1"/>
      <c r="AB409" s="1"/>
      <c r="IQ409" s="86"/>
      <c r="IR409" s="86"/>
      <c r="IS409" s="86"/>
      <c r="IT409" s="86"/>
      <c r="IU409" s="86"/>
      <c r="IV409" s="86"/>
    </row>
    <row r="410" spans="1:256" s="73" customFormat="1">
      <c r="A410" s="101"/>
      <c r="B410" s="144" t="s">
        <v>241</v>
      </c>
      <c r="C410" s="111"/>
      <c r="D410" s="111"/>
      <c r="E410" s="111"/>
      <c r="F410" s="111"/>
      <c r="G410" s="111"/>
      <c r="H410" s="111"/>
      <c r="I410" s="577"/>
      <c r="J410" s="577"/>
      <c r="K410" s="577"/>
      <c r="L410" s="571"/>
      <c r="M410" s="304"/>
      <c r="N410" s="305"/>
      <c r="O410" s="207"/>
      <c r="P410" s="182"/>
      <c r="Q410" s="51"/>
      <c r="R410" s="51"/>
      <c r="S410" s="183"/>
      <c r="T410" s="9"/>
      <c r="U410" s="783"/>
      <c r="V410" s="783"/>
      <c r="X410" s="855"/>
      <c r="Y410" s="783"/>
      <c r="Z410" s="1"/>
      <c r="AA410" s="1"/>
      <c r="AB410" s="1"/>
      <c r="IQ410" s="86"/>
      <c r="IR410" s="86"/>
      <c r="IS410" s="86"/>
      <c r="IT410" s="86"/>
      <c r="IU410" s="86"/>
      <c r="IV410" s="86"/>
    </row>
    <row r="411" spans="1:256" s="73" customFormat="1" ht="12" thickBot="1">
      <c r="A411" s="101"/>
      <c r="B411" s="144" t="s">
        <v>242</v>
      </c>
      <c r="C411" s="111">
        <v>0</v>
      </c>
      <c r="D411" s="111">
        <v>0</v>
      </c>
      <c r="E411" s="111">
        <v>1</v>
      </c>
      <c r="F411" s="111">
        <v>0</v>
      </c>
      <c r="G411" s="111">
        <v>0</v>
      </c>
      <c r="H411" s="111">
        <f>SUM(C411:G411)</f>
        <v>1</v>
      </c>
      <c r="I411" s="577"/>
      <c r="J411" s="577"/>
      <c r="K411" s="577"/>
      <c r="L411" s="571">
        <f>((C411*$C$5)+(D411*$D$5)+(E411*$E$5)+(F411*$F$5)+(G411*$G$5))</f>
        <v>75.809999999999988</v>
      </c>
      <c r="M411" s="304">
        <v>0</v>
      </c>
      <c r="N411" s="305">
        <v>0</v>
      </c>
      <c r="O411" s="207">
        <f>P10</f>
        <v>64</v>
      </c>
      <c r="P411" s="182">
        <f>(C411+D411+E411+F411+G411)*O411</f>
        <v>64</v>
      </c>
      <c r="Q411" s="51">
        <f>M411*O411</f>
        <v>0</v>
      </c>
      <c r="R411" s="51">
        <f>N411*O411</f>
        <v>0</v>
      </c>
      <c r="S411" s="183">
        <f>(L411+M411+N411)*O411</f>
        <v>4851.8399999999992</v>
      </c>
      <c r="T411" s="841" t="s">
        <v>407</v>
      </c>
      <c r="U411" s="842" t="str">
        <f>IF($T411="RP",O411,"")</f>
        <v/>
      </c>
      <c r="V411" s="842" t="str">
        <f>IF($T411="RP",P411,"")</f>
        <v/>
      </c>
      <c r="W411" s="842" t="str">
        <f>IF($T411="RP",SUM(Q411:R411),"")</f>
        <v/>
      </c>
      <c r="X411" s="842">
        <f>IF($T411="RK",O411,"")</f>
        <v>64</v>
      </c>
      <c r="Y411" s="842">
        <f>IF($T411="RK",P411,"")</f>
        <v>64</v>
      </c>
      <c r="Z411" s="843">
        <f>IF($T411="Rk",SUM(Q411:R411),"")</f>
        <v>0</v>
      </c>
      <c r="AA411" s="1"/>
      <c r="AB411" s="1"/>
      <c r="IQ411" s="86"/>
      <c r="IR411" s="86"/>
      <c r="IS411" s="86"/>
      <c r="IT411" s="86"/>
      <c r="IU411" s="86"/>
      <c r="IV411" s="86"/>
    </row>
    <row r="412" spans="1:256" s="73" customFormat="1" ht="12.75" thickTop="1" thickBot="1">
      <c r="A412" s="64" t="s">
        <v>29</v>
      </c>
      <c r="B412" s="54"/>
      <c r="C412" s="55">
        <f>SUM(C409:C411)</f>
        <v>0</v>
      </c>
      <c r="D412" s="55">
        <f t="shared" ref="D412:S412" si="137">SUM(D409:D411)</f>
        <v>0</v>
      </c>
      <c r="E412" s="55">
        <f t="shared" si="137"/>
        <v>1</v>
      </c>
      <c r="F412" s="55">
        <f t="shared" si="137"/>
        <v>0</v>
      </c>
      <c r="G412" s="55">
        <f t="shared" si="137"/>
        <v>0</v>
      </c>
      <c r="H412" s="55">
        <f t="shared" si="137"/>
        <v>1</v>
      </c>
      <c r="I412" s="566">
        <f t="shared" si="137"/>
        <v>0</v>
      </c>
      <c r="J412" s="566">
        <f t="shared" si="137"/>
        <v>0</v>
      </c>
      <c r="K412" s="566">
        <f t="shared" si="137"/>
        <v>0</v>
      </c>
      <c r="L412" s="62">
        <f t="shared" si="137"/>
        <v>75.809999999999988</v>
      </c>
      <c r="M412" s="57">
        <f t="shared" si="137"/>
        <v>0</v>
      </c>
      <c r="N412" s="58">
        <f t="shared" si="137"/>
        <v>0</v>
      </c>
      <c r="O412" s="59"/>
      <c r="P412" s="60">
        <f t="shared" si="137"/>
        <v>64</v>
      </c>
      <c r="Q412" s="61">
        <f t="shared" si="137"/>
        <v>0</v>
      </c>
      <c r="R412" s="61">
        <f t="shared" si="137"/>
        <v>0</v>
      </c>
      <c r="S412" s="62">
        <f t="shared" si="137"/>
        <v>4851.8399999999992</v>
      </c>
      <c r="T412" s="62"/>
      <c r="U412" s="849">
        <f t="shared" ref="U412:Z412" si="138">SUM(U409:U411)</f>
        <v>0</v>
      </c>
      <c r="V412" s="849">
        <f t="shared" si="138"/>
        <v>0</v>
      </c>
      <c r="W412" s="62">
        <f t="shared" si="138"/>
        <v>0</v>
      </c>
      <c r="X412" s="849">
        <f t="shared" si="138"/>
        <v>128</v>
      </c>
      <c r="Y412" s="849">
        <f t="shared" si="138"/>
        <v>64</v>
      </c>
      <c r="Z412" s="62">
        <f t="shared" si="138"/>
        <v>0</v>
      </c>
      <c r="AA412" s="1"/>
      <c r="AB412" s="1"/>
      <c r="IQ412" s="86"/>
      <c r="IR412" s="86"/>
      <c r="IS412" s="86"/>
      <c r="IT412" s="86"/>
      <c r="IU412" s="86"/>
      <c r="IV412" s="86"/>
    </row>
    <row r="413" spans="1:256" s="73" customFormat="1" ht="12" thickTop="1">
      <c r="A413" s="133" t="s">
        <v>243</v>
      </c>
      <c r="B413" s="177"/>
      <c r="C413" s="135"/>
      <c r="D413" s="135"/>
      <c r="E413" s="135"/>
      <c r="F413" s="135"/>
      <c r="G413" s="135"/>
      <c r="H413" s="135"/>
      <c r="I413" s="136"/>
      <c r="J413" s="136"/>
      <c r="K413" s="136"/>
      <c r="L413" s="137"/>
      <c r="M413" s="137"/>
      <c r="N413" s="285"/>
      <c r="O413" s="139"/>
      <c r="P413" s="140"/>
      <c r="Q413" s="141"/>
      <c r="R413" s="141"/>
      <c r="S413" s="142"/>
      <c r="T413" s="9"/>
      <c r="U413" s="783"/>
      <c r="V413" s="783"/>
      <c r="W413" s="219"/>
      <c r="X413" s="856"/>
      <c r="Y413" s="783"/>
      <c r="Z413" s="1"/>
      <c r="AA413" s="1"/>
      <c r="AB413" s="1"/>
      <c r="AC413" s="219"/>
      <c r="AD413" s="219"/>
      <c r="AE413" s="219"/>
      <c r="AF413" s="219"/>
      <c r="AG413" s="219"/>
      <c r="IQ413" s="86"/>
      <c r="IR413" s="86"/>
      <c r="IS413" s="86"/>
      <c r="IT413" s="86"/>
      <c r="IU413" s="86"/>
      <c r="IV413" s="86"/>
    </row>
    <row r="414" spans="1:256" s="73" customFormat="1">
      <c r="A414" s="478"/>
      <c r="B414" s="144" t="s">
        <v>244</v>
      </c>
      <c r="C414" s="111"/>
      <c r="D414" s="111"/>
      <c r="E414" s="111"/>
      <c r="F414" s="111"/>
      <c r="G414" s="641"/>
      <c r="H414" s="642"/>
      <c r="I414" s="643"/>
      <c r="J414" s="643"/>
      <c r="K414" s="643"/>
      <c r="L414" s="113"/>
      <c r="M414" s="304"/>
      <c r="N414" s="305"/>
      <c r="O414" s="207"/>
      <c r="P414" s="182"/>
      <c r="Q414" s="51"/>
      <c r="R414" s="51"/>
      <c r="S414" s="183"/>
      <c r="T414" s="9"/>
      <c r="U414" s="783"/>
      <c r="V414" s="783"/>
      <c r="X414" s="855"/>
      <c r="Y414" s="783"/>
      <c r="Z414" s="1"/>
      <c r="AA414" s="1"/>
      <c r="AB414" s="1"/>
      <c r="IQ414" s="86"/>
      <c r="IR414" s="86"/>
      <c r="IS414" s="86"/>
      <c r="IT414" s="86"/>
      <c r="IU414" s="86"/>
      <c r="IV414" s="86"/>
    </row>
    <row r="415" spans="1:256" s="73" customFormat="1">
      <c r="A415" s="133"/>
      <c r="B415" s="154" t="s">
        <v>245</v>
      </c>
      <c r="C415" s="212">
        <v>0</v>
      </c>
      <c r="D415" s="212">
        <v>0</v>
      </c>
      <c r="E415" s="212">
        <v>0</v>
      </c>
      <c r="F415" s="212">
        <v>0</v>
      </c>
      <c r="G415" s="644">
        <v>0</v>
      </c>
      <c r="H415" s="645">
        <f>SUM(C415:G415)</f>
        <v>0</v>
      </c>
      <c r="I415" s="646">
        <f>D415*$O415</f>
        <v>0</v>
      </c>
      <c r="J415" s="646">
        <f>E415*$O415</f>
        <v>0</v>
      </c>
      <c r="K415" s="646">
        <f>F415*$O415</f>
        <v>0</v>
      </c>
      <c r="L415" s="214">
        <f>((C415*$C$5)+(D415*$D$5)+(E415*$E$5)+(F415*$F$5)+(G415*$G$5))</f>
        <v>0</v>
      </c>
      <c r="M415" s="491">
        <v>0</v>
      </c>
      <c r="N415" s="492">
        <v>0</v>
      </c>
      <c r="O415" s="1157">
        <f>P10</f>
        <v>64</v>
      </c>
      <c r="P415" s="217">
        <f>(C415+D415+E415+F415+G415)*O415</f>
        <v>0</v>
      </c>
      <c r="Q415" s="218">
        <f>M415*O415</f>
        <v>0</v>
      </c>
      <c r="R415" s="218">
        <f>N415*O415</f>
        <v>0</v>
      </c>
      <c r="S415" s="52">
        <f>(L415+M415+N415)*O415</f>
        <v>0</v>
      </c>
      <c r="T415" s="841" t="s">
        <v>407</v>
      </c>
      <c r="U415" s="842" t="str">
        <f>IF($T415="RP",O415,"")</f>
        <v/>
      </c>
      <c r="V415" s="842" t="str">
        <f>IF($T415="RP",P415,"")</f>
        <v/>
      </c>
      <c r="W415" s="842" t="str">
        <f>IF($T415="RP",SUM(Q415:R415),"")</f>
        <v/>
      </c>
      <c r="X415" s="842">
        <f>IF($T415="RK",O415,"")</f>
        <v>64</v>
      </c>
      <c r="Y415" s="842">
        <f>IF($T415="RK",P415,"")</f>
        <v>0</v>
      </c>
      <c r="Z415" s="843">
        <f>IF($T415="Rk",SUM(Q415:R415),"")</f>
        <v>0</v>
      </c>
      <c r="AA415" s="1"/>
      <c r="AB415" s="1"/>
      <c r="AC415" s="219"/>
      <c r="AD415" s="219"/>
      <c r="AE415" s="219"/>
      <c r="AF415" s="219"/>
      <c r="AG415" s="219"/>
      <c r="IQ415" s="86"/>
      <c r="IR415" s="86"/>
      <c r="IS415" s="86"/>
      <c r="IT415" s="86"/>
      <c r="IU415" s="86"/>
      <c r="IV415" s="86"/>
    </row>
    <row r="416" spans="1:256" s="73" customFormat="1">
      <c r="A416" s="101"/>
      <c r="B416" s="144" t="s">
        <v>246</v>
      </c>
      <c r="C416" s="111"/>
      <c r="D416" s="111"/>
      <c r="E416" s="111"/>
      <c r="F416" s="111"/>
      <c r="G416" s="80"/>
      <c r="H416" s="647" t="s">
        <v>30</v>
      </c>
      <c r="I416" s="648"/>
      <c r="J416" s="648"/>
      <c r="K416" s="648"/>
      <c r="L416" s="113"/>
      <c r="M416" s="113"/>
      <c r="N416" s="493"/>
      <c r="O416" s="207"/>
      <c r="P416" s="182"/>
      <c r="Q416" s="51"/>
      <c r="R416" s="51"/>
      <c r="S416" s="183"/>
      <c r="T416" s="9"/>
      <c r="U416" s="783"/>
      <c r="V416" s="783"/>
      <c r="X416" s="855"/>
      <c r="Y416" s="783"/>
      <c r="Z416" s="1"/>
      <c r="AA416" s="1"/>
      <c r="AB416" s="1"/>
      <c r="IQ416" s="86"/>
      <c r="IR416" s="86"/>
      <c r="IS416" s="86"/>
      <c r="IT416" s="86"/>
      <c r="IU416" s="86"/>
      <c r="IV416" s="86"/>
    </row>
    <row r="417" spans="1:256" s="73" customFormat="1" ht="12" thickBot="1">
      <c r="A417" s="129"/>
      <c r="B417" s="144" t="s">
        <v>247</v>
      </c>
      <c r="C417" s="111">
        <v>0</v>
      </c>
      <c r="D417" s="111">
        <v>0.25</v>
      </c>
      <c r="E417" s="111">
        <v>1</v>
      </c>
      <c r="F417" s="111">
        <v>0</v>
      </c>
      <c r="G417" s="111">
        <v>0</v>
      </c>
      <c r="H417" s="45">
        <f>SUM(C417:G417)</f>
        <v>1.25</v>
      </c>
      <c r="I417" s="46">
        <f>D417*$O417</f>
        <v>16</v>
      </c>
      <c r="J417" s="46">
        <f>E417*$O417</f>
        <v>64</v>
      </c>
      <c r="K417" s="46">
        <f>F417*$O417</f>
        <v>0</v>
      </c>
      <c r="L417" s="47">
        <f>((C417*$C$5)+(D417*$D$5)+(E417*$E$5)+(F417*$F$5)+(G417*$G$5))</f>
        <v>99.707999999999984</v>
      </c>
      <c r="M417" s="350">
        <v>0</v>
      </c>
      <c r="N417" s="351">
        <v>8</v>
      </c>
      <c r="O417" s="207">
        <f>P10</f>
        <v>64</v>
      </c>
      <c r="P417" s="50">
        <f>(C417+D417+E417+F417+G417)*O417</f>
        <v>80</v>
      </c>
      <c r="Q417" s="51">
        <f>M417*O417</f>
        <v>0</v>
      </c>
      <c r="R417" s="51">
        <f>N417*O417</f>
        <v>512</v>
      </c>
      <c r="S417" s="52">
        <f>(L417+M417+N417)*O417</f>
        <v>6893.311999999999</v>
      </c>
      <c r="T417" s="841" t="s">
        <v>408</v>
      </c>
      <c r="U417" s="842">
        <f>IF($T417="RP",O417,"")</f>
        <v>64</v>
      </c>
      <c r="V417" s="842">
        <f>IF($T417="RP",P417,"")</f>
        <v>80</v>
      </c>
      <c r="W417" s="842">
        <f>IF($T417="RP",SUM(Q417:R417),"")</f>
        <v>512</v>
      </c>
      <c r="X417" s="842" t="str">
        <f>IF($T417="RK",O417,"")</f>
        <v/>
      </c>
      <c r="Y417" s="842" t="str">
        <f>IF($T417="RK",P417,"")</f>
        <v/>
      </c>
      <c r="Z417" s="843" t="str">
        <f>IF($T417="Rk",SUM(Q417:R417),"")</f>
        <v/>
      </c>
      <c r="AA417" s="1"/>
      <c r="AB417" s="1"/>
      <c r="IQ417" s="86"/>
      <c r="IR417" s="86"/>
      <c r="IS417" s="86"/>
      <c r="IT417" s="86"/>
      <c r="IU417" s="86"/>
      <c r="IV417" s="86"/>
    </row>
    <row r="418" spans="1:256" s="73" customFormat="1" ht="12.75" thickTop="1" thickBot="1">
      <c r="A418" s="53" t="s">
        <v>29</v>
      </c>
      <c r="B418" s="54"/>
      <c r="C418" s="55">
        <f t="shared" ref="C418:N418" si="139">SUM(C414:C417)</f>
        <v>0</v>
      </c>
      <c r="D418" s="55">
        <f t="shared" si="139"/>
        <v>0.25</v>
      </c>
      <c r="E418" s="55">
        <f t="shared" si="139"/>
        <v>1</v>
      </c>
      <c r="F418" s="55">
        <f t="shared" si="139"/>
        <v>0</v>
      </c>
      <c r="G418" s="55">
        <f t="shared" si="139"/>
        <v>0</v>
      </c>
      <c r="H418" s="55">
        <f t="shared" si="139"/>
        <v>1.25</v>
      </c>
      <c r="I418" s="566">
        <f t="shared" si="139"/>
        <v>16</v>
      </c>
      <c r="J418" s="566">
        <f t="shared" si="139"/>
        <v>64</v>
      </c>
      <c r="K418" s="566">
        <f t="shared" si="139"/>
        <v>0</v>
      </c>
      <c r="L418" s="57">
        <f t="shared" si="139"/>
        <v>99.707999999999984</v>
      </c>
      <c r="M418" s="62">
        <f t="shared" si="139"/>
        <v>0</v>
      </c>
      <c r="N418" s="58">
        <f t="shared" si="139"/>
        <v>8</v>
      </c>
      <c r="O418" s="59"/>
      <c r="P418" s="649">
        <f>SUM(P414:P417)</f>
        <v>80</v>
      </c>
      <c r="Q418" s="650">
        <f>SUM(Q414:Q417)</f>
        <v>0</v>
      </c>
      <c r="R418" s="650">
        <f>SUM(R414:R417)</f>
        <v>512</v>
      </c>
      <c r="S418" s="62">
        <f>SUM(S414:S417)</f>
        <v>6893.311999999999</v>
      </c>
      <c r="T418" s="62"/>
      <c r="U418" s="849">
        <f t="shared" ref="U418:Z418" si="140">SUM(U414:U417)</f>
        <v>64</v>
      </c>
      <c r="V418" s="849">
        <f t="shared" si="140"/>
        <v>80</v>
      </c>
      <c r="W418" s="62">
        <f t="shared" si="140"/>
        <v>512</v>
      </c>
      <c r="X418" s="849">
        <f t="shared" si="140"/>
        <v>64</v>
      </c>
      <c r="Y418" s="849">
        <f t="shared" si="140"/>
        <v>0</v>
      </c>
      <c r="Z418" s="62">
        <f t="shared" si="140"/>
        <v>0</v>
      </c>
      <c r="AA418" s="1"/>
      <c r="AB418" s="1"/>
      <c r="IQ418" s="86"/>
      <c r="IR418" s="86"/>
      <c r="IS418" s="86"/>
      <c r="IT418" s="86"/>
      <c r="IU418" s="86"/>
      <c r="IV418" s="86"/>
    </row>
    <row r="419" spans="1:256" s="73" customFormat="1" ht="12" thickTop="1">
      <c r="A419" s="640" t="s">
        <v>248</v>
      </c>
      <c r="B419" s="402"/>
      <c r="C419" s="403"/>
      <c r="D419" s="403"/>
      <c r="E419" s="403"/>
      <c r="F419" s="403"/>
      <c r="G419" s="403"/>
      <c r="H419" s="403"/>
      <c r="I419" s="404"/>
      <c r="J419" s="404"/>
      <c r="K419" s="404"/>
      <c r="L419" s="405"/>
      <c r="M419" s="405"/>
      <c r="N419" s="406"/>
      <c r="O419" s="407"/>
      <c r="P419" s="408"/>
      <c r="Q419" s="409"/>
      <c r="R419" s="409"/>
      <c r="S419" s="410"/>
      <c r="T419" s="9"/>
      <c r="U419" s="783"/>
      <c r="V419" s="783"/>
      <c r="X419" s="855"/>
      <c r="Y419" s="783"/>
      <c r="Z419" s="1"/>
      <c r="AA419" s="1"/>
      <c r="AB419" s="1"/>
      <c r="IQ419" s="86"/>
      <c r="IR419" s="86"/>
      <c r="IS419" s="86"/>
      <c r="IT419" s="86"/>
      <c r="IU419" s="86"/>
      <c r="IV419" s="86"/>
    </row>
    <row r="420" spans="1:256" s="73" customFormat="1">
      <c r="A420" s="651" t="s">
        <v>249</v>
      </c>
      <c r="B420" s="651"/>
      <c r="C420" s="145"/>
      <c r="D420" s="145"/>
      <c r="E420" s="145"/>
      <c r="F420" s="145"/>
      <c r="G420" s="145"/>
      <c r="H420" s="145"/>
      <c r="I420" s="453"/>
      <c r="J420" s="453"/>
      <c r="K420" s="453"/>
      <c r="L420" s="456"/>
      <c r="M420" s="456"/>
      <c r="N420" s="652"/>
      <c r="O420" s="151"/>
      <c r="P420" s="518"/>
      <c r="Q420" s="514"/>
      <c r="R420" s="514"/>
      <c r="S420" s="456"/>
      <c r="T420" s="9"/>
      <c r="U420" s="783"/>
      <c r="V420" s="783"/>
      <c r="X420" s="855"/>
      <c r="Y420" s="783"/>
      <c r="Z420" s="1"/>
      <c r="AA420" s="1"/>
      <c r="AB420" s="1"/>
      <c r="IQ420" s="86"/>
      <c r="IR420" s="86"/>
      <c r="IS420" s="86"/>
      <c r="IT420" s="86"/>
      <c r="IU420" s="86"/>
      <c r="IV420" s="86"/>
    </row>
    <row r="421" spans="1:256" s="73" customFormat="1" ht="12" thickBot="1">
      <c r="A421" s="653" t="s">
        <v>250</v>
      </c>
      <c r="B421" s="653"/>
      <c r="C421" s="166">
        <v>0</v>
      </c>
      <c r="D421" s="166">
        <v>0.5</v>
      </c>
      <c r="E421" s="166">
        <v>15</v>
      </c>
      <c r="F421" s="166">
        <v>1</v>
      </c>
      <c r="G421" s="80">
        <v>10</v>
      </c>
      <c r="H421" s="45">
        <f>SUM(C421:G421)</f>
        <v>26.5</v>
      </c>
      <c r="I421" s="46">
        <f>D421*$O421</f>
        <v>0</v>
      </c>
      <c r="J421" s="46">
        <f>E421*$O421</f>
        <v>0</v>
      </c>
      <c r="K421" s="46">
        <f>F421*$O421</f>
        <v>0</v>
      </c>
      <c r="L421" s="47">
        <f>((C421*$C$5)+(D421*$D$5)+(E421*$E$5)+(F421*$F$5)+(G421*$G$5))</f>
        <v>2177.7139999999999</v>
      </c>
      <c r="M421" s="350">
        <v>0</v>
      </c>
      <c r="N421" s="351">
        <v>8</v>
      </c>
      <c r="O421" s="170">
        <v>0</v>
      </c>
      <c r="P421" s="50">
        <f>(C421+D421+E421+F421+G421)*O421</f>
        <v>0</v>
      </c>
      <c r="Q421" s="51">
        <f>M421*O421</f>
        <v>0</v>
      </c>
      <c r="R421" s="51">
        <f>N421*O421</f>
        <v>0</v>
      </c>
      <c r="S421" s="52">
        <f>(L421+M421+N421)*O421</f>
        <v>0</v>
      </c>
      <c r="T421" s="841" t="s">
        <v>408</v>
      </c>
      <c r="U421" s="842">
        <f>IF($T421="RP",O421,"")</f>
        <v>0</v>
      </c>
      <c r="V421" s="842">
        <f>IF($T421="RP",P421,"")</f>
        <v>0</v>
      </c>
      <c r="W421" s="842">
        <f>IF($T421="RP",SUM(Q421:R421),"")</f>
        <v>0</v>
      </c>
      <c r="X421" s="842" t="str">
        <f>IF($T421="RK",O421,"")</f>
        <v/>
      </c>
      <c r="Y421" s="842" t="str">
        <f>IF($T421="RK",P421,"")</f>
        <v/>
      </c>
      <c r="Z421" s="843" t="str">
        <f>IF($T421="Rk",SUM(Q421:R421),"")</f>
        <v/>
      </c>
      <c r="AA421" s="1"/>
      <c r="AB421" s="1"/>
      <c r="IQ421" s="86"/>
      <c r="IR421" s="86"/>
      <c r="IS421" s="86"/>
      <c r="IT421" s="86"/>
      <c r="IU421" s="86"/>
      <c r="IV421" s="86"/>
    </row>
    <row r="422" spans="1:256" s="73" customFormat="1" ht="12.75" thickTop="1" thickBot="1">
      <c r="A422" s="53" t="s">
        <v>29</v>
      </c>
      <c r="B422" s="54"/>
      <c r="C422" s="55">
        <f t="shared" ref="C422:S422" si="141">C421</f>
        <v>0</v>
      </c>
      <c r="D422" s="55">
        <f t="shared" si="141"/>
        <v>0.5</v>
      </c>
      <c r="E422" s="55">
        <f t="shared" si="141"/>
        <v>15</v>
      </c>
      <c r="F422" s="55">
        <f t="shared" si="141"/>
        <v>1</v>
      </c>
      <c r="G422" s="55">
        <f t="shared" si="141"/>
        <v>10</v>
      </c>
      <c r="H422" s="55">
        <f t="shared" si="141"/>
        <v>26.5</v>
      </c>
      <c r="I422" s="56">
        <f t="shared" si="141"/>
        <v>0</v>
      </c>
      <c r="J422" s="56">
        <f t="shared" si="141"/>
        <v>0</v>
      </c>
      <c r="K422" s="56">
        <f t="shared" si="141"/>
        <v>0</v>
      </c>
      <c r="L422" s="57">
        <f t="shared" si="141"/>
        <v>2177.7139999999999</v>
      </c>
      <c r="M422" s="57">
        <f t="shared" si="141"/>
        <v>0</v>
      </c>
      <c r="N422" s="58">
        <f t="shared" si="141"/>
        <v>8</v>
      </c>
      <c r="O422" s="59">
        <f t="shared" si="141"/>
        <v>0</v>
      </c>
      <c r="P422" s="60">
        <f t="shared" si="141"/>
        <v>0</v>
      </c>
      <c r="Q422" s="61">
        <f t="shared" si="141"/>
        <v>0</v>
      </c>
      <c r="R422" s="61">
        <f t="shared" si="141"/>
        <v>0</v>
      </c>
      <c r="S422" s="62">
        <f t="shared" si="141"/>
        <v>0</v>
      </c>
      <c r="T422" s="62"/>
      <c r="U422" s="849">
        <f t="shared" ref="U422:Z422" si="142">U421</f>
        <v>0</v>
      </c>
      <c r="V422" s="849">
        <f t="shared" si="142"/>
        <v>0</v>
      </c>
      <c r="W422" s="62">
        <f t="shared" si="142"/>
        <v>0</v>
      </c>
      <c r="X422" s="849" t="str">
        <f t="shared" si="142"/>
        <v/>
      </c>
      <c r="Y422" s="849" t="str">
        <f t="shared" si="142"/>
        <v/>
      </c>
      <c r="Z422" s="62" t="str">
        <f t="shared" si="142"/>
        <v/>
      </c>
      <c r="AA422" s="1"/>
      <c r="AB422" s="1"/>
      <c r="IQ422" s="86"/>
      <c r="IR422" s="86"/>
      <c r="IS422" s="86"/>
      <c r="IT422" s="86"/>
      <c r="IU422" s="86"/>
      <c r="IV422" s="86"/>
    </row>
    <row r="423" spans="1:256" s="73" customFormat="1" ht="12.75" thickTop="1" thickBot="1">
      <c r="A423" s="64"/>
      <c r="B423" s="65"/>
      <c r="C423" s="66"/>
      <c r="D423" s="66"/>
      <c r="E423" s="66"/>
      <c r="F423" s="66"/>
      <c r="G423" s="66"/>
      <c r="H423" s="66"/>
      <c r="I423" s="67"/>
      <c r="J423" s="67"/>
      <c r="K423" s="67"/>
      <c r="L423" s="68"/>
      <c r="M423" s="68"/>
      <c r="N423" s="69"/>
      <c r="O423" s="70"/>
      <c r="P423" s="70"/>
      <c r="Q423" s="71"/>
      <c r="R423" s="71"/>
      <c r="S423" s="72"/>
      <c r="T423" s="85"/>
      <c r="U423" s="784"/>
      <c r="V423" s="784"/>
      <c r="X423" s="855"/>
      <c r="Y423" s="784"/>
      <c r="Z423" s="86"/>
      <c r="AA423" s="86"/>
      <c r="AB423" s="86"/>
      <c r="IQ423" s="86"/>
      <c r="IR423" s="86"/>
      <c r="IS423" s="86"/>
      <c r="IT423" s="86"/>
      <c r="IU423" s="86"/>
      <c r="IV423" s="86"/>
    </row>
    <row r="424" spans="1:256" s="73" customFormat="1" ht="12.75" thickTop="1" thickBot="1">
      <c r="A424" s="239" t="s">
        <v>266</v>
      </c>
      <c r="B424" s="240"/>
      <c r="C424" s="241"/>
      <c r="D424" s="241"/>
      <c r="E424" s="241"/>
      <c r="F424" s="241"/>
      <c r="G424" s="241"/>
      <c r="H424" s="55">
        <f>SUM(H401,H406,H412,H418,H422)</f>
        <v>378.75</v>
      </c>
      <c r="I424" s="56"/>
      <c r="J424" s="56"/>
      <c r="K424" s="56"/>
      <c r="L424" s="57">
        <f>SUM(L401,L406,L412,L418,L422)</f>
        <v>29416.715999999997</v>
      </c>
      <c r="M424" s="57">
        <f>SUM(M401,M406,M412,M418,M422)</f>
        <v>0</v>
      </c>
      <c r="N424" s="58">
        <f>SUM(N401,N406,N412,N418,N422)</f>
        <v>16</v>
      </c>
      <c r="O424" s="59"/>
      <c r="P424" s="122">
        <f>SUM(P401,P406,P412,P418,P422)</f>
        <v>16278.4</v>
      </c>
      <c r="Q424" s="57">
        <f>SUM(Q401,Q406,Q412,Q418,Q422)</f>
        <v>0</v>
      </c>
      <c r="R424" s="57">
        <f>SUM(R401,R406,R412,R418,R422)</f>
        <v>512</v>
      </c>
      <c r="S424" s="57">
        <f>SUM(S401,S406,S412,S418,S422)</f>
        <v>1255586.5087999997</v>
      </c>
      <c r="T424" s="57"/>
      <c r="U424" s="853">
        <f t="shared" ref="U424:Z424" si="143">SUM(U401,U406,U412,U418,U422)</f>
        <v>301.44000000000005</v>
      </c>
      <c r="V424" s="853">
        <f t="shared" si="143"/>
        <v>16214.4</v>
      </c>
      <c r="W424" s="57">
        <f t="shared" si="143"/>
        <v>512</v>
      </c>
      <c r="X424" s="853">
        <f t="shared" si="143"/>
        <v>192</v>
      </c>
      <c r="Y424" s="853">
        <f t="shared" si="143"/>
        <v>64</v>
      </c>
      <c r="Z424" s="57">
        <f t="shared" si="143"/>
        <v>0</v>
      </c>
      <c r="AA424" s="1"/>
      <c r="AB424" s="1"/>
      <c r="IQ424" s="86"/>
      <c r="IR424" s="86"/>
      <c r="IS424" s="86"/>
      <c r="IT424" s="86"/>
      <c r="IU424" s="86"/>
      <c r="IV424" s="86"/>
    </row>
    <row r="425" spans="1:256" s="73" customFormat="1" ht="12" thickTop="1">
      <c r="A425" s="585"/>
      <c r="B425" s="585"/>
      <c r="C425" s="586"/>
      <c r="D425" s="586"/>
      <c r="E425" s="586"/>
      <c r="F425" s="586"/>
      <c r="G425" s="586"/>
      <c r="H425" s="80"/>
      <c r="I425" s="81"/>
      <c r="J425" s="81"/>
      <c r="K425" s="81"/>
      <c r="L425" s="82"/>
      <c r="M425" s="82"/>
      <c r="N425" s="654"/>
      <c r="O425" s="83"/>
      <c r="P425" s="90"/>
      <c r="Q425" s="82"/>
      <c r="R425" s="82"/>
      <c r="S425" s="654"/>
      <c r="T425" s="508"/>
      <c r="U425" s="783"/>
      <c r="V425" s="783"/>
      <c r="X425" s="855"/>
      <c r="Y425" s="783"/>
      <c r="Z425" s="1"/>
      <c r="AA425" s="1"/>
      <c r="AB425" s="1"/>
      <c r="IQ425" s="86"/>
      <c r="IR425" s="86"/>
      <c r="IS425" s="86"/>
      <c r="IT425" s="86"/>
      <c r="IU425" s="86"/>
      <c r="IV425" s="86"/>
    </row>
    <row r="426" spans="1:256" s="73" customFormat="1">
      <c r="A426" s="585"/>
      <c r="B426" s="585"/>
      <c r="C426" s="586"/>
      <c r="D426" s="586"/>
      <c r="E426" s="586"/>
      <c r="F426" s="586"/>
      <c r="G426" s="586"/>
      <c r="H426" s="80"/>
      <c r="I426" s="81"/>
      <c r="J426" s="81"/>
      <c r="K426" s="81"/>
      <c r="L426" s="82"/>
      <c r="M426" s="82"/>
      <c r="N426" s="82"/>
      <c r="O426" s="83"/>
      <c r="P426" s="90"/>
      <c r="Q426" s="82"/>
      <c r="R426" s="82"/>
      <c r="S426" s="82"/>
      <c r="T426" s="508"/>
      <c r="U426" s="783"/>
      <c r="V426" s="783"/>
      <c r="X426" s="855"/>
      <c r="Y426" s="783"/>
      <c r="Z426" s="1"/>
      <c r="AA426" s="1"/>
      <c r="AB426" s="1"/>
      <c r="IQ426" s="86"/>
      <c r="IR426" s="86"/>
      <c r="IS426" s="86"/>
      <c r="IT426" s="86"/>
      <c r="IU426" s="86"/>
      <c r="IV426" s="86"/>
    </row>
    <row r="427" spans="1:256" s="73" customFormat="1" ht="12" thickBot="1">
      <c r="A427" s="585"/>
      <c r="B427" s="585"/>
      <c r="C427" s="586"/>
      <c r="D427" s="586"/>
      <c r="E427" s="586"/>
      <c r="F427" s="586"/>
      <c r="G427" s="586"/>
      <c r="H427" s="80"/>
      <c r="I427" s="81"/>
      <c r="J427" s="81"/>
      <c r="K427" s="81"/>
      <c r="L427" s="82"/>
      <c r="M427" s="82"/>
      <c r="N427" s="82"/>
      <c r="O427" s="83"/>
      <c r="P427" s="90"/>
      <c r="Q427" s="82"/>
      <c r="R427" s="82"/>
      <c r="S427" s="82"/>
      <c r="T427" s="508"/>
      <c r="U427" s="783"/>
      <c r="V427" s="783"/>
      <c r="X427" s="855"/>
      <c r="Y427" s="783"/>
      <c r="Z427" s="1"/>
      <c r="AA427" s="1"/>
      <c r="AB427" s="1"/>
      <c r="IQ427" s="86"/>
      <c r="IR427" s="86"/>
      <c r="IS427" s="86"/>
      <c r="IT427" s="86"/>
      <c r="IU427" s="86"/>
      <c r="IV427" s="86"/>
    </row>
    <row r="428" spans="1:256" s="73" customFormat="1" ht="12" thickBot="1">
      <c r="A428" s="959" t="s">
        <v>287</v>
      </c>
      <c r="B428" s="1107"/>
      <c r="C428" s="1108"/>
      <c r="D428" s="1108"/>
      <c r="E428" s="1108"/>
      <c r="F428" s="1108"/>
      <c r="G428" s="1108"/>
      <c r="H428" s="961"/>
      <c r="I428" s="962"/>
      <c r="J428" s="962"/>
      <c r="K428" s="962"/>
      <c r="L428" s="963"/>
      <c r="M428" s="963"/>
      <c r="N428" s="963"/>
      <c r="O428" s="965"/>
      <c r="P428" s="1109"/>
      <c r="Q428" s="963"/>
      <c r="R428" s="963"/>
      <c r="S428" s="963"/>
      <c r="T428" s="963"/>
      <c r="U428" s="1110"/>
      <c r="V428" s="1110"/>
      <c r="W428" s="963"/>
      <c r="X428" s="1110"/>
      <c r="Y428" s="1110"/>
      <c r="Z428" s="1111"/>
      <c r="AA428" s="1"/>
      <c r="AB428" s="1"/>
      <c r="IQ428" s="86"/>
      <c r="IR428" s="86"/>
      <c r="IS428" s="86"/>
      <c r="IT428" s="86"/>
      <c r="IU428" s="86"/>
      <c r="IV428" s="86"/>
    </row>
    <row r="429" spans="1:256" s="73" customFormat="1">
      <c r="A429" s="990" t="s">
        <v>288</v>
      </c>
      <c r="B429" s="775"/>
      <c r="C429" s="1104"/>
      <c r="D429" s="1104"/>
      <c r="E429" s="1104"/>
      <c r="F429" s="1104"/>
      <c r="G429" s="1104"/>
      <c r="H429" s="135"/>
      <c r="I429" s="136"/>
      <c r="J429" s="136"/>
      <c r="K429" s="136"/>
      <c r="L429" s="137"/>
      <c r="M429" s="137"/>
      <c r="N429" s="265"/>
      <c r="O429" s="83"/>
      <c r="P429" s="1105"/>
      <c r="Q429" s="118"/>
      <c r="R429" s="118"/>
      <c r="S429" s="161"/>
      <c r="T429" s="508"/>
      <c r="U429" s="784"/>
      <c r="V429" s="784"/>
      <c r="X429" s="855"/>
      <c r="Y429" s="784"/>
      <c r="Z429" s="973"/>
      <c r="AA429" s="1"/>
      <c r="AB429" s="1"/>
      <c r="IQ429" s="86"/>
      <c r="IR429" s="86"/>
      <c r="IS429" s="86"/>
      <c r="IT429" s="86"/>
      <c r="IU429" s="86"/>
      <c r="IV429" s="86"/>
    </row>
    <row r="430" spans="1:256" s="73" customFormat="1" ht="12" thickBot="1">
      <c r="A430" s="1112"/>
      <c r="B430" s="235" t="s">
        <v>289</v>
      </c>
      <c r="C430" s="515">
        <v>1</v>
      </c>
      <c r="D430" s="515">
        <v>1</v>
      </c>
      <c r="E430" s="515">
        <v>20</v>
      </c>
      <c r="F430" s="515">
        <v>5</v>
      </c>
      <c r="G430" s="515">
        <v>20</v>
      </c>
      <c r="H430" s="515">
        <f>SUM(C430:G430)</f>
        <v>47</v>
      </c>
      <c r="I430" s="656">
        <f>D430*$O430</f>
        <v>14.833333333333334</v>
      </c>
      <c r="J430" s="656">
        <f>E430*$O430</f>
        <v>296.66666666666669</v>
      </c>
      <c r="K430" s="656">
        <f>F430*$O430</f>
        <v>74.166666666666671</v>
      </c>
      <c r="L430" s="657">
        <f>((C430*$C$5)+(D430*$D$5)+(E430*$E$5)+(F430*$F$5)+(G430*$G$5))</f>
        <v>3819.2419999999997</v>
      </c>
      <c r="M430" s="657">
        <v>0</v>
      </c>
      <c r="N430" s="658">
        <v>8</v>
      </c>
      <c r="O430" s="659">
        <f>0.25*(SUM(P2:P6))</f>
        <v>14.833333333333334</v>
      </c>
      <c r="P430" s="660">
        <f>(C430+D430+E430+F430+G430)*O430</f>
        <v>697.16666666666674</v>
      </c>
      <c r="Q430" s="657">
        <f>M430*O430</f>
        <v>0</v>
      </c>
      <c r="R430" s="657">
        <f>N430*O430</f>
        <v>118.66666666666667</v>
      </c>
      <c r="S430" s="661">
        <f>(L430+M430+N430)*O430</f>
        <v>56770.756333333331</v>
      </c>
      <c r="T430" s="841" t="s">
        <v>408</v>
      </c>
      <c r="U430" s="842">
        <f>IF($T430="RP",O430,"")</f>
        <v>14.833333333333334</v>
      </c>
      <c r="V430" s="842">
        <f>IF($T430="RP",P430,"")</f>
        <v>697.16666666666674</v>
      </c>
      <c r="W430" s="842">
        <f>IF($T430="RP",SUM(Q430:R430),"")</f>
        <v>118.66666666666667</v>
      </c>
      <c r="X430" s="842" t="str">
        <f>IF($T430="RK",O430,"")</f>
        <v/>
      </c>
      <c r="Y430" s="842" t="str">
        <f>IF($T430="RK",P430,"")</f>
        <v/>
      </c>
      <c r="Z430" s="984" t="str">
        <f>IF($T430="Rk",SUM(Q430:R430),"")</f>
        <v/>
      </c>
      <c r="AA430" s="1"/>
      <c r="AB430" s="1"/>
      <c r="IQ430" s="86"/>
      <c r="IR430" s="86"/>
      <c r="IS430" s="86"/>
      <c r="IT430" s="86"/>
      <c r="IU430" s="86"/>
      <c r="IV430" s="86"/>
    </row>
    <row r="431" spans="1:256" s="73" customFormat="1" ht="12.75" thickTop="1" thickBot="1">
      <c r="A431" s="1068" t="s">
        <v>29</v>
      </c>
      <c r="B431" s="65"/>
      <c r="C431" s="75">
        <f>C430</f>
        <v>1</v>
      </c>
      <c r="D431" s="75">
        <f t="shared" ref="D431:N431" si="144">D430</f>
        <v>1</v>
      </c>
      <c r="E431" s="75">
        <f t="shared" si="144"/>
        <v>20</v>
      </c>
      <c r="F431" s="75">
        <f t="shared" si="144"/>
        <v>5</v>
      </c>
      <c r="G431" s="75">
        <f t="shared" si="144"/>
        <v>20</v>
      </c>
      <c r="H431" s="75">
        <f t="shared" si="144"/>
        <v>47</v>
      </c>
      <c r="I431" s="76">
        <f t="shared" si="144"/>
        <v>14.833333333333334</v>
      </c>
      <c r="J431" s="76">
        <f t="shared" si="144"/>
        <v>296.66666666666669</v>
      </c>
      <c r="K431" s="76">
        <f t="shared" si="144"/>
        <v>74.166666666666671</v>
      </c>
      <c r="L431" s="77">
        <f t="shared" si="144"/>
        <v>3819.2419999999997</v>
      </c>
      <c r="M431" s="77">
        <f t="shared" si="144"/>
        <v>0</v>
      </c>
      <c r="N431" s="69">
        <f t="shared" si="144"/>
        <v>8</v>
      </c>
      <c r="O431" s="70"/>
      <c r="P431" s="470">
        <f>P430</f>
        <v>697.16666666666674</v>
      </c>
      <c r="Q431" s="77">
        <f>Q430</f>
        <v>0</v>
      </c>
      <c r="R431" s="77">
        <f>R430</f>
        <v>118.66666666666667</v>
      </c>
      <c r="S431" s="72">
        <f>S430</f>
        <v>56770.756333333331</v>
      </c>
      <c r="T431" s="72"/>
      <c r="U431" s="850">
        <f t="shared" ref="U431:Z431" si="145">U430</f>
        <v>14.833333333333334</v>
      </c>
      <c r="V431" s="850">
        <f t="shared" si="145"/>
        <v>697.16666666666674</v>
      </c>
      <c r="W431" s="72">
        <f t="shared" si="145"/>
        <v>118.66666666666667</v>
      </c>
      <c r="X431" s="850" t="str">
        <f t="shared" si="145"/>
        <v/>
      </c>
      <c r="Y431" s="850" t="str">
        <f t="shared" si="145"/>
        <v/>
      </c>
      <c r="Z431" s="988" t="str">
        <f t="shared" si="145"/>
        <v/>
      </c>
      <c r="AA431" s="1"/>
      <c r="AB431" s="1"/>
      <c r="IQ431" s="86"/>
      <c r="IR431" s="86"/>
      <c r="IS431" s="86"/>
      <c r="IT431" s="86"/>
      <c r="IU431" s="86"/>
      <c r="IV431" s="86"/>
    </row>
    <row r="432" spans="1:256" s="73" customFormat="1" ht="12" thickTop="1">
      <c r="A432" s="990" t="s">
        <v>290</v>
      </c>
      <c r="B432" s="35"/>
      <c r="C432" s="655"/>
      <c r="D432" s="655"/>
      <c r="E432" s="655"/>
      <c r="F432" s="655"/>
      <c r="G432" s="655"/>
      <c r="H432" s="365"/>
      <c r="I432" s="366"/>
      <c r="J432" s="366"/>
      <c r="K432" s="366"/>
      <c r="L432" s="367"/>
      <c r="M432" s="367"/>
      <c r="N432" s="265"/>
      <c r="O432" s="83"/>
      <c r="P432" s="662"/>
      <c r="Q432" s="367"/>
      <c r="R432" s="367"/>
      <c r="S432" s="161"/>
      <c r="T432" s="508"/>
      <c r="U432" s="784"/>
      <c r="V432" s="784"/>
      <c r="X432" s="855"/>
      <c r="Y432" s="784"/>
      <c r="Z432" s="973"/>
      <c r="AA432" s="1"/>
      <c r="AB432" s="1"/>
      <c r="IQ432" s="86"/>
      <c r="IR432" s="86"/>
      <c r="IS432" s="86"/>
      <c r="IT432" s="86"/>
      <c r="IU432" s="86"/>
      <c r="IV432" s="86"/>
    </row>
    <row r="433" spans="1:256" s="73" customFormat="1">
      <c r="A433" s="991"/>
      <c r="B433" s="509" t="s">
        <v>291</v>
      </c>
      <c r="C433" s="158">
        <v>1</v>
      </c>
      <c r="D433" s="158">
        <v>3</v>
      </c>
      <c r="E433" s="158">
        <v>40</v>
      </c>
      <c r="F433" s="158">
        <v>5</v>
      </c>
      <c r="G433" s="158">
        <v>20</v>
      </c>
      <c r="H433" s="158">
        <f>SUM(C433:G433)</f>
        <v>69</v>
      </c>
      <c r="I433" s="663">
        <f>D433*$O433</f>
        <v>1.4000000000000001</v>
      </c>
      <c r="J433" s="663">
        <f>E433*$O433</f>
        <v>18.666666666666668</v>
      </c>
      <c r="K433" s="663">
        <f>F433*$O433</f>
        <v>2.3333333333333335</v>
      </c>
      <c r="L433" s="273">
        <f>((C433*$C$5)+(D433*$D$5)+(E433*$E$5)+(F433*$F$5)+(G433*$G$5))</f>
        <v>5526.6260000000002</v>
      </c>
      <c r="M433" s="273">
        <v>0</v>
      </c>
      <c r="N433" s="664">
        <v>8</v>
      </c>
      <c r="O433" s="665">
        <f>0.1*P7</f>
        <v>0.46666666666666673</v>
      </c>
      <c r="P433" s="666">
        <f>(C433+D433+E433+F433+G433)*O433</f>
        <v>32.200000000000003</v>
      </c>
      <c r="Q433" s="273">
        <f>M433*O433</f>
        <v>0</v>
      </c>
      <c r="R433" s="273">
        <f>N433*O433</f>
        <v>3.7333333333333338</v>
      </c>
      <c r="S433" s="187">
        <f>(L433+M433+N433)*O433</f>
        <v>2582.8254666666671</v>
      </c>
      <c r="T433" s="841" t="s">
        <v>408</v>
      </c>
      <c r="U433" s="842">
        <f>IF($T433="RP",O433,"")</f>
        <v>0.46666666666666673</v>
      </c>
      <c r="V433" s="842">
        <f>IF($T433="RP",P433,"")</f>
        <v>32.200000000000003</v>
      </c>
      <c r="W433" s="842">
        <f>IF($T433="RP",SUM(Q433:R433),"")</f>
        <v>3.7333333333333338</v>
      </c>
      <c r="X433" s="842" t="str">
        <f>IF($T433="RK",O433,"")</f>
        <v/>
      </c>
      <c r="Y433" s="842" t="str">
        <f>IF($T433="RK",P433,"")</f>
        <v/>
      </c>
      <c r="Z433" s="984" t="str">
        <f>IF($T433="Rk",SUM(Q433:R433),"")</f>
        <v/>
      </c>
      <c r="AA433" s="1"/>
      <c r="AB433" s="1"/>
      <c r="IQ433" s="86"/>
      <c r="IR433" s="86"/>
      <c r="IS433" s="86"/>
      <c r="IT433" s="86"/>
      <c r="IU433" s="86"/>
      <c r="IV433" s="86"/>
    </row>
    <row r="434" spans="1:256" s="73" customFormat="1" ht="12" thickBot="1">
      <c r="A434" s="1112"/>
      <c r="B434" s="235" t="s">
        <v>292</v>
      </c>
      <c r="C434" s="515">
        <v>1</v>
      </c>
      <c r="D434" s="515">
        <v>2</v>
      </c>
      <c r="E434" s="515">
        <v>15</v>
      </c>
      <c r="F434" s="515">
        <v>5</v>
      </c>
      <c r="G434" s="515">
        <v>5</v>
      </c>
      <c r="H434" s="515">
        <f t="shared" ref="H434:N434" si="146">H433</f>
        <v>69</v>
      </c>
      <c r="I434" s="656">
        <f t="shared" si="146"/>
        <v>1.4000000000000001</v>
      </c>
      <c r="J434" s="656">
        <f t="shared" si="146"/>
        <v>18.666666666666668</v>
      </c>
      <c r="K434" s="656">
        <f t="shared" si="146"/>
        <v>2.3333333333333335</v>
      </c>
      <c r="L434" s="657">
        <f t="shared" si="146"/>
        <v>5526.6260000000002</v>
      </c>
      <c r="M434" s="657">
        <f t="shared" si="146"/>
        <v>0</v>
      </c>
      <c r="N434" s="658">
        <f t="shared" si="146"/>
        <v>8</v>
      </c>
      <c r="O434" s="659">
        <f>0.1*P7</f>
        <v>0.46666666666666673</v>
      </c>
      <c r="P434" s="660">
        <f>(C434+D434+E434+F434+G434)*O434</f>
        <v>13.066666666666668</v>
      </c>
      <c r="Q434" s="657">
        <f>M434*O434</f>
        <v>0</v>
      </c>
      <c r="R434" s="657">
        <f>N434*O434</f>
        <v>3.7333333333333338</v>
      </c>
      <c r="S434" s="661">
        <f>(L434+M434+N434)*O434</f>
        <v>2582.8254666666671</v>
      </c>
      <c r="T434" s="841" t="s">
        <v>408</v>
      </c>
      <c r="U434" s="842">
        <f>IF($T434="RP",O434,"")</f>
        <v>0.46666666666666673</v>
      </c>
      <c r="V434" s="842">
        <f>IF($T434="RP",P434,"")</f>
        <v>13.066666666666668</v>
      </c>
      <c r="W434" s="842">
        <f>IF($T434="RP",SUM(Q434:R434),"")</f>
        <v>3.7333333333333338</v>
      </c>
      <c r="X434" s="842" t="str">
        <f>IF($T434="RK",O434,"")</f>
        <v/>
      </c>
      <c r="Y434" s="842" t="str">
        <f>IF($T434="RK",P434,"")</f>
        <v/>
      </c>
      <c r="Z434" s="984" t="str">
        <f>IF($T434="Rk",SUM(Q434:R434),"")</f>
        <v/>
      </c>
      <c r="AA434" s="1"/>
      <c r="AB434" s="1"/>
      <c r="IQ434" s="86"/>
      <c r="IR434" s="86"/>
      <c r="IS434" s="86"/>
      <c r="IT434" s="86"/>
      <c r="IU434" s="86"/>
      <c r="IV434" s="86"/>
    </row>
    <row r="435" spans="1:256" s="73" customFormat="1" ht="12.75" thickTop="1" thickBot="1">
      <c r="A435" s="1113" t="s">
        <v>29</v>
      </c>
      <c r="B435" s="667"/>
      <c r="C435" s="668">
        <f>C433+C434</f>
        <v>2</v>
      </c>
      <c r="D435" s="668">
        <f t="shared" ref="D435:N435" si="147">D433+D434</f>
        <v>5</v>
      </c>
      <c r="E435" s="668">
        <f t="shared" si="147"/>
        <v>55</v>
      </c>
      <c r="F435" s="668">
        <f t="shared" si="147"/>
        <v>10</v>
      </c>
      <c r="G435" s="668">
        <f t="shared" si="147"/>
        <v>25</v>
      </c>
      <c r="H435" s="668">
        <f t="shared" si="147"/>
        <v>138</v>
      </c>
      <c r="I435" s="669">
        <f t="shared" si="147"/>
        <v>2.8000000000000003</v>
      </c>
      <c r="J435" s="669">
        <f t="shared" si="147"/>
        <v>37.333333333333336</v>
      </c>
      <c r="K435" s="669">
        <f t="shared" si="147"/>
        <v>4.666666666666667</v>
      </c>
      <c r="L435" s="670">
        <f t="shared" si="147"/>
        <v>11053.252</v>
      </c>
      <c r="M435" s="671">
        <f t="shared" si="147"/>
        <v>0</v>
      </c>
      <c r="N435" s="672">
        <f t="shared" si="147"/>
        <v>16</v>
      </c>
      <c r="O435" s="673"/>
      <c r="P435" s="674">
        <f>P433+P434</f>
        <v>45.266666666666673</v>
      </c>
      <c r="Q435" s="675">
        <f>Q433+Q434</f>
        <v>0</v>
      </c>
      <c r="R435" s="675">
        <f>R433+R434</f>
        <v>7.4666666666666677</v>
      </c>
      <c r="S435" s="289">
        <f>S433+S434</f>
        <v>5165.6509333333343</v>
      </c>
      <c r="T435" s="289"/>
      <c r="U435" s="920">
        <f t="shared" ref="U435:Z435" si="148">SUM(U433,U434)</f>
        <v>0.93333333333333346</v>
      </c>
      <c r="V435" s="920">
        <f t="shared" si="148"/>
        <v>45.266666666666673</v>
      </c>
      <c r="W435" s="289">
        <f t="shared" si="148"/>
        <v>7.4666666666666677</v>
      </c>
      <c r="X435" s="920">
        <f t="shared" si="148"/>
        <v>0</v>
      </c>
      <c r="Y435" s="920">
        <f t="shared" si="148"/>
        <v>0</v>
      </c>
      <c r="Z435" s="1114">
        <f t="shared" si="148"/>
        <v>0</v>
      </c>
      <c r="AA435" s="1"/>
      <c r="AB435" s="1"/>
      <c r="IQ435" s="86"/>
      <c r="IR435" s="86"/>
      <c r="IS435" s="86"/>
      <c r="IT435" s="86"/>
      <c r="IU435" s="86"/>
      <c r="IV435" s="86"/>
    </row>
    <row r="436" spans="1:256" s="73" customFormat="1" ht="12.75" thickTop="1" thickBot="1">
      <c r="A436" s="1115"/>
      <c r="B436" s="676"/>
      <c r="C436" s="677"/>
      <c r="D436" s="677"/>
      <c r="E436" s="677"/>
      <c r="F436" s="677"/>
      <c r="G436" s="677"/>
      <c r="H436" s="677"/>
      <c r="I436" s="678"/>
      <c r="J436" s="678"/>
      <c r="K436" s="678"/>
      <c r="L436" s="679"/>
      <c r="M436" s="680"/>
      <c r="N436" s="672"/>
      <c r="O436" s="681"/>
      <c r="P436" s="681"/>
      <c r="Q436" s="682"/>
      <c r="R436" s="682"/>
      <c r="S436" s="683"/>
      <c r="T436" s="508"/>
      <c r="U436" s="784"/>
      <c r="V436" s="784"/>
      <c r="X436" s="855"/>
      <c r="Y436" s="784"/>
      <c r="Z436" s="973"/>
      <c r="AA436" s="86"/>
      <c r="AB436" s="86"/>
      <c r="IQ436" s="86"/>
      <c r="IR436" s="86"/>
      <c r="IS436" s="86"/>
      <c r="IT436" s="86"/>
      <c r="IU436" s="86"/>
      <c r="IV436" s="86"/>
    </row>
    <row r="437" spans="1:256" s="73" customFormat="1" ht="12.75" thickTop="1" thickBot="1">
      <c r="A437" s="1116" t="s">
        <v>293</v>
      </c>
      <c r="B437" s="1117"/>
      <c r="C437" s="1118"/>
      <c r="D437" s="1118"/>
      <c r="E437" s="1118"/>
      <c r="F437" s="1118"/>
      <c r="G437" s="1118"/>
      <c r="H437" s="1118">
        <f>H435+H431</f>
        <v>185</v>
      </c>
      <c r="I437" s="1119"/>
      <c r="J437" s="1119"/>
      <c r="K437" s="1119"/>
      <c r="L437" s="1120"/>
      <c r="M437" s="1121"/>
      <c r="N437" s="1121">
        <f>N435+N431</f>
        <v>24</v>
      </c>
      <c r="O437" s="1122"/>
      <c r="P437" s="1154">
        <f>P435+P431</f>
        <v>742.43333333333339</v>
      </c>
      <c r="Q437" s="1123">
        <f>Q435+Q431</f>
        <v>0</v>
      </c>
      <c r="R437" s="1123">
        <f>R435+R431</f>
        <v>126.13333333333334</v>
      </c>
      <c r="S437" s="1121">
        <f>S435+S431</f>
        <v>61936.407266666662</v>
      </c>
      <c r="T437" s="892"/>
      <c r="U437" s="921">
        <f t="shared" ref="U437:Z437" si="149">SUM(U435,U431)</f>
        <v>15.766666666666667</v>
      </c>
      <c r="V437" s="921">
        <f t="shared" si="149"/>
        <v>742.43333333333339</v>
      </c>
      <c r="W437" s="893">
        <f t="shared" si="149"/>
        <v>126.13333333333334</v>
      </c>
      <c r="X437" s="921">
        <f t="shared" si="149"/>
        <v>0</v>
      </c>
      <c r="Y437" s="921">
        <f t="shared" si="149"/>
        <v>0</v>
      </c>
      <c r="Z437" s="1124">
        <f t="shared" si="149"/>
        <v>0</v>
      </c>
      <c r="AA437" s="1"/>
      <c r="AB437" s="1"/>
      <c r="IQ437" s="86"/>
      <c r="IR437" s="86"/>
      <c r="IS437" s="86"/>
      <c r="IT437" s="86"/>
      <c r="IU437" s="86"/>
      <c r="IV437" s="86"/>
    </row>
    <row r="438" spans="1:256" s="73" customFormat="1">
      <c r="A438" s="500"/>
      <c r="B438" s="500"/>
      <c r="C438" s="501"/>
      <c r="D438" s="501"/>
      <c r="E438" s="501"/>
      <c r="F438" s="501"/>
      <c r="G438" s="501"/>
      <c r="H438" s="501"/>
      <c r="I438" s="502"/>
      <c r="J438" s="502"/>
      <c r="K438" s="502"/>
      <c r="L438" s="503"/>
      <c r="M438" s="504"/>
      <c r="N438" s="504"/>
      <c r="O438" s="505"/>
      <c r="P438" s="505"/>
      <c r="Q438" s="506"/>
      <c r="R438" s="506"/>
      <c r="S438" s="264"/>
      <c r="T438" s="508"/>
      <c r="U438" s="783"/>
      <c r="V438" s="783"/>
      <c r="X438" s="855"/>
      <c r="Y438" s="783"/>
      <c r="Z438" s="1"/>
      <c r="AA438" s="1"/>
      <c r="AB438" s="1"/>
      <c r="IQ438" s="86"/>
      <c r="IR438" s="86"/>
      <c r="IS438" s="86"/>
      <c r="IT438" s="86"/>
      <c r="IU438" s="86"/>
      <c r="IV438" s="86"/>
    </row>
    <row r="439" spans="1:256" s="73" customFormat="1">
      <c r="A439" s="500"/>
      <c r="B439" s="500"/>
      <c r="C439" s="501"/>
      <c r="D439" s="501"/>
      <c r="E439" s="501"/>
      <c r="F439" s="501"/>
      <c r="G439" s="501"/>
      <c r="H439" s="501"/>
      <c r="I439" s="502"/>
      <c r="J439" s="502"/>
      <c r="K439" s="502"/>
      <c r="L439" s="503"/>
      <c r="M439" s="504"/>
      <c r="N439" s="504"/>
      <c r="O439" s="505"/>
      <c r="P439" s="505"/>
      <c r="Q439" s="506"/>
      <c r="R439" s="506"/>
      <c r="S439" s="264"/>
      <c r="T439" s="508"/>
      <c r="U439" s="784"/>
      <c r="V439" s="784"/>
      <c r="X439" s="855"/>
      <c r="Y439" s="784"/>
      <c r="Z439" s="86"/>
      <c r="AA439" s="86"/>
      <c r="AB439" s="86"/>
      <c r="IQ439" s="86"/>
      <c r="IR439" s="86"/>
      <c r="IS439" s="86"/>
      <c r="IT439" s="86"/>
      <c r="IU439" s="86"/>
      <c r="IV439" s="86"/>
    </row>
    <row r="440" spans="1:256" s="73" customFormat="1" ht="12" thickBot="1">
      <c r="A440" s="500"/>
      <c r="B440" s="500"/>
      <c r="C440" s="501"/>
      <c r="D440" s="501"/>
      <c r="E440" s="501"/>
      <c r="F440" s="501"/>
      <c r="G440" s="501"/>
      <c r="H440" s="501"/>
      <c r="I440" s="502"/>
      <c r="J440" s="502"/>
      <c r="K440" s="502"/>
      <c r="L440" s="503"/>
      <c r="M440" s="504"/>
      <c r="N440" s="504"/>
      <c r="O440" s="505"/>
      <c r="P440" s="505"/>
      <c r="Q440" s="506"/>
      <c r="R440" s="506"/>
      <c r="S440" s="264"/>
      <c r="T440" s="894"/>
      <c r="U440" s="784"/>
      <c r="V440" s="784"/>
      <c r="X440" s="855"/>
      <c r="Y440" s="783"/>
      <c r="Z440" s="1"/>
      <c r="AA440" s="1"/>
      <c r="AB440" s="1"/>
      <c r="IQ440" s="86"/>
      <c r="IR440" s="86"/>
      <c r="IS440" s="86"/>
      <c r="IT440" s="86"/>
      <c r="IU440" s="86"/>
      <c r="IV440" s="86"/>
    </row>
    <row r="441" spans="1:256" s="73" customFormat="1" ht="12" thickBot="1">
      <c r="A441" s="895" t="s">
        <v>265</v>
      </c>
      <c r="B441" s="896"/>
      <c r="C441" s="897"/>
      <c r="D441" s="897"/>
      <c r="E441" s="897"/>
      <c r="F441" s="897"/>
      <c r="G441" s="897"/>
      <c r="H441" s="898">
        <f>H437+H424+H392+H381+H346+H308+H271+H185+H138+H37+H24</f>
        <v>4341.25</v>
      </c>
      <c r="I441" s="899"/>
      <c r="J441" s="899"/>
      <c r="K441" s="899"/>
      <c r="L441" s="900">
        <f>L437+L424+L392+L381+L346+L308+L271+L185+L138+L37+L24</f>
        <v>340955.20199999999</v>
      </c>
      <c r="M441" s="900">
        <f>M437+M424+M392+M381+M346+M308+M271+M185+M138+M37+M24</f>
        <v>11200.01</v>
      </c>
      <c r="N441" s="900">
        <f>N437+N424+N392+N381+N346+N308+N271+N185+N138+N37+N24</f>
        <v>148914</v>
      </c>
      <c r="O441" s="898"/>
      <c r="P441" s="901">
        <f>P437+P424+P392+P381+P346+P308+P271+P185+P138+P37+P24</f>
        <v>138433.91800000001</v>
      </c>
      <c r="Q441" s="902">
        <f>Q437+Q424+Q392+Q381+Q346+Q308+Q271+Q185+Q138+Q37+Q24</f>
        <v>100058.97333333333</v>
      </c>
      <c r="R441" s="902">
        <f>R437+R424+R392+R381+R346+R308+R271+R185+R138+R37+R24</f>
        <v>3949693.0200000005</v>
      </c>
      <c r="S441" s="902">
        <f>S437+S424+S392+S381+S346+S308+S271+S185+S138+S37+S24</f>
        <v>15390863.298623998</v>
      </c>
      <c r="T441" s="903"/>
      <c r="U441" s="922">
        <f t="shared" ref="U441:Z441" si="150">SUM(U437,U424,U392,U381,U346,U308,U271,U185,U138,U37,U24)</f>
        <v>1446.48</v>
      </c>
      <c r="V441" s="922">
        <f t="shared" si="150"/>
        <v>95722.826666666675</v>
      </c>
      <c r="W441" s="902">
        <f t="shared" si="150"/>
        <v>4023981.4266666672</v>
      </c>
      <c r="X441" s="922">
        <f t="shared" si="150"/>
        <v>1240.7446666666665</v>
      </c>
      <c r="Y441" s="922">
        <f t="shared" si="150"/>
        <v>42711.09133333333</v>
      </c>
      <c r="Z441" s="902">
        <f t="shared" si="150"/>
        <v>25770.566666666669</v>
      </c>
      <c r="AA441" s="1"/>
      <c r="AB441" s="1"/>
      <c r="AC441" s="86"/>
      <c r="AD441" s="86"/>
      <c r="AE441" s="86"/>
      <c r="IQ441" s="86"/>
      <c r="IR441" s="86"/>
      <c r="IS441" s="86"/>
      <c r="IT441" s="86"/>
      <c r="IU441" s="86"/>
      <c r="IV441" s="86"/>
    </row>
    <row r="442" spans="1:256" s="73" customFormat="1" ht="12" thickBot="1">
      <c r="A442" s="500"/>
      <c r="B442" s="500"/>
      <c r="C442" s="501"/>
      <c r="D442" s="501"/>
      <c r="E442" s="501"/>
      <c r="F442" s="501"/>
      <c r="G442" s="501"/>
      <c r="H442" s="501"/>
      <c r="I442" s="502"/>
      <c r="J442" s="502"/>
      <c r="K442" s="502"/>
      <c r="L442" s="503"/>
      <c r="M442" s="504"/>
      <c r="N442" s="504"/>
      <c r="O442" s="505"/>
      <c r="P442" s="505"/>
      <c r="Q442" s="506"/>
      <c r="R442" s="506"/>
      <c r="T442" s="9"/>
      <c r="U442" s="783"/>
      <c r="V442" s="783"/>
      <c r="X442" s="855"/>
      <c r="Y442" s="783"/>
      <c r="Z442" s="1"/>
      <c r="AA442" s="1"/>
      <c r="AB442" s="1"/>
      <c r="AC442" s="86"/>
      <c r="AD442" s="86"/>
      <c r="AE442" s="86"/>
      <c r="IQ442" s="86"/>
      <c r="IR442" s="86"/>
      <c r="IS442" s="86"/>
      <c r="IT442" s="86"/>
      <c r="IU442" s="86"/>
      <c r="IV442" s="86"/>
    </row>
    <row r="443" spans="1:256" ht="12" thickBot="1">
      <c r="Q443" s="1161" t="s">
        <v>434</v>
      </c>
      <c r="R443" s="1162"/>
      <c r="S443" s="1163">
        <f>S441+R441+Q441</f>
        <v>19440615.29195733</v>
      </c>
      <c r="U443" s="783"/>
      <c r="V443" s="783"/>
      <c r="X443" s="783"/>
      <c r="Y443" s="783"/>
      <c r="AC443" s="86"/>
      <c r="AD443" s="86"/>
      <c r="AE443" s="86"/>
      <c r="AF443" s="86"/>
      <c r="AG443" s="86"/>
    </row>
    <row r="444" spans="1:256">
      <c r="U444" s="783"/>
      <c r="V444" s="783"/>
      <c r="X444" s="783"/>
      <c r="Y444" s="783"/>
    </row>
    <row r="445" spans="1:256">
      <c r="P445" s="758"/>
      <c r="S445" s="758"/>
      <c r="U445" s="783"/>
      <c r="V445" s="783"/>
      <c r="X445" s="783"/>
      <c r="Y445" s="783"/>
    </row>
    <row r="446" spans="1:256">
      <c r="U446" s="783"/>
      <c r="V446" s="783"/>
      <c r="X446" s="783"/>
      <c r="Y446" s="783"/>
    </row>
    <row r="447" spans="1:256">
      <c r="U447" s="783"/>
      <c r="V447" s="783"/>
      <c r="X447" s="783"/>
      <c r="Y447" s="783"/>
    </row>
    <row r="448" spans="1:256">
      <c r="U448" s="783"/>
      <c r="V448" s="783"/>
      <c r="X448" s="783"/>
      <c r="Y448" s="783"/>
    </row>
    <row r="449" spans="21:25">
      <c r="U449" s="783"/>
      <c r="V449" s="783"/>
      <c r="X449" s="783"/>
      <c r="Y449" s="783"/>
    </row>
    <row r="450" spans="21:25">
      <c r="U450" s="783"/>
      <c r="V450" s="783"/>
      <c r="X450" s="783"/>
      <c r="Y450" s="783"/>
    </row>
    <row r="451" spans="21:25">
      <c r="U451" s="783"/>
      <c r="V451" s="783"/>
      <c r="X451" s="783"/>
      <c r="Y451" s="783"/>
    </row>
    <row r="452" spans="21:25">
      <c r="U452" s="783"/>
      <c r="V452" s="783"/>
      <c r="X452" s="783"/>
      <c r="Y452" s="783"/>
    </row>
    <row r="453" spans="21:25">
      <c r="U453" s="783"/>
      <c r="V453" s="783"/>
      <c r="X453" s="783"/>
      <c r="Y453" s="783"/>
    </row>
    <row r="454" spans="21:25">
      <c r="U454" s="783"/>
      <c r="V454" s="783"/>
      <c r="X454" s="783"/>
      <c r="Y454" s="783"/>
    </row>
    <row r="455" spans="21:25">
      <c r="U455" s="783"/>
      <c r="V455" s="783"/>
      <c r="X455" s="783"/>
      <c r="Y455" s="783"/>
    </row>
    <row r="456" spans="21:25">
      <c r="U456" s="783"/>
      <c r="V456" s="783"/>
      <c r="X456" s="783"/>
      <c r="Y456" s="783"/>
    </row>
    <row r="457" spans="21:25">
      <c r="U457" s="783"/>
      <c r="V457" s="783"/>
      <c r="X457" s="783"/>
      <c r="Y457" s="783"/>
    </row>
    <row r="458" spans="21:25">
      <c r="U458" s="783"/>
      <c r="V458" s="783"/>
      <c r="X458" s="783"/>
      <c r="Y458" s="783"/>
    </row>
    <row r="459" spans="21:25">
      <c r="U459" s="783"/>
      <c r="V459" s="783"/>
      <c r="X459" s="783"/>
      <c r="Y459" s="783"/>
    </row>
    <row r="460" spans="21:25">
      <c r="U460" s="783"/>
      <c r="V460" s="783"/>
      <c r="X460" s="783"/>
      <c r="Y460" s="783"/>
    </row>
    <row r="461" spans="21:25">
      <c r="U461" s="783"/>
      <c r="V461" s="783"/>
      <c r="X461" s="783"/>
      <c r="Y461" s="783"/>
    </row>
    <row r="462" spans="21:25">
      <c r="U462" s="783"/>
      <c r="V462" s="783"/>
      <c r="X462" s="783"/>
      <c r="Y462" s="783"/>
    </row>
    <row r="463" spans="21:25">
      <c r="U463" s="783"/>
      <c r="V463" s="783"/>
      <c r="X463" s="783"/>
      <c r="Y463" s="783"/>
    </row>
    <row r="464" spans="21:25">
      <c r="U464" s="783"/>
      <c r="V464" s="783"/>
      <c r="X464" s="783"/>
      <c r="Y464" s="783"/>
    </row>
    <row r="465" spans="21:25">
      <c r="U465" s="783"/>
      <c r="V465" s="783"/>
      <c r="X465" s="783"/>
      <c r="Y465" s="783"/>
    </row>
    <row r="466" spans="21:25">
      <c r="U466" s="783"/>
      <c r="V466" s="783"/>
      <c r="X466" s="783"/>
      <c r="Y466" s="783"/>
    </row>
    <row r="467" spans="21:25">
      <c r="U467" s="783"/>
      <c r="V467" s="783"/>
      <c r="X467" s="783"/>
      <c r="Y467" s="783"/>
    </row>
    <row r="468" spans="21:25">
      <c r="U468" s="783"/>
      <c r="V468" s="783"/>
      <c r="X468" s="783"/>
      <c r="Y468" s="783"/>
    </row>
    <row r="469" spans="21:25">
      <c r="U469" s="783"/>
      <c r="V469" s="783"/>
      <c r="X469" s="783"/>
      <c r="Y469" s="783"/>
    </row>
    <row r="470" spans="21:25">
      <c r="U470" s="783"/>
      <c r="V470" s="783"/>
      <c r="X470" s="783"/>
      <c r="Y470" s="783"/>
    </row>
    <row r="471" spans="21:25">
      <c r="U471" s="783"/>
      <c r="V471" s="783"/>
      <c r="X471" s="783"/>
      <c r="Y471" s="783"/>
    </row>
    <row r="472" spans="21:25">
      <c r="U472" s="783"/>
      <c r="V472" s="783"/>
      <c r="X472" s="783"/>
      <c r="Y472" s="783"/>
    </row>
    <row r="473" spans="21:25">
      <c r="U473" s="783"/>
      <c r="V473" s="783"/>
      <c r="X473" s="783"/>
      <c r="Y473" s="783"/>
    </row>
    <row r="474" spans="21:25">
      <c r="U474" s="783"/>
      <c r="V474" s="783"/>
      <c r="X474" s="783"/>
      <c r="Y474" s="783"/>
    </row>
    <row r="475" spans="21:25">
      <c r="U475" s="783"/>
      <c r="V475" s="783"/>
      <c r="X475" s="783"/>
      <c r="Y475" s="783"/>
    </row>
    <row r="476" spans="21:25">
      <c r="U476" s="783"/>
      <c r="V476" s="783"/>
      <c r="X476" s="783"/>
      <c r="Y476" s="783"/>
    </row>
    <row r="477" spans="21:25">
      <c r="U477" s="783"/>
      <c r="V477" s="783"/>
      <c r="X477" s="783"/>
      <c r="Y477" s="783"/>
    </row>
    <row r="478" spans="21:25">
      <c r="U478" s="783"/>
      <c r="V478" s="783"/>
      <c r="X478" s="783"/>
      <c r="Y478" s="783"/>
    </row>
    <row r="479" spans="21:25">
      <c r="U479" s="783"/>
      <c r="V479" s="783"/>
      <c r="X479" s="783"/>
      <c r="Y479" s="783"/>
    </row>
    <row r="480" spans="21:25">
      <c r="U480" s="783"/>
      <c r="V480" s="783"/>
      <c r="X480" s="783"/>
      <c r="Y480" s="783"/>
    </row>
    <row r="481" spans="21:25">
      <c r="U481" s="783"/>
      <c r="V481" s="783"/>
      <c r="X481" s="783"/>
      <c r="Y481" s="783"/>
    </row>
    <row r="482" spans="21:25">
      <c r="U482" s="783"/>
      <c r="V482" s="783"/>
      <c r="X482" s="783"/>
      <c r="Y482" s="783"/>
    </row>
    <row r="483" spans="21:25">
      <c r="U483" s="783"/>
      <c r="V483" s="783"/>
      <c r="X483" s="783"/>
      <c r="Y483" s="783"/>
    </row>
    <row r="484" spans="21:25">
      <c r="U484" s="783"/>
      <c r="V484" s="783"/>
      <c r="X484" s="783"/>
      <c r="Y484" s="783"/>
    </row>
    <row r="485" spans="21:25">
      <c r="U485" s="783"/>
      <c r="V485" s="783"/>
      <c r="X485" s="783"/>
      <c r="Y485" s="783"/>
    </row>
    <row r="486" spans="21:25">
      <c r="U486" s="783"/>
      <c r="V486" s="783"/>
      <c r="X486" s="783"/>
      <c r="Y486" s="783"/>
    </row>
    <row r="487" spans="21:25">
      <c r="U487" s="783"/>
      <c r="V487" s="783"/>
      <c r="X487" s="783"/>
      <c r="Y487" s="783"/>
    </row>
    <row r="488" spans="21:25">
      <c r="U488" s="783"/>
      <c r="V488" s="783"/>
      <c r="X488" s="783"/>
      <c r="Y488" s="783"/>
    </row>
    <row r="489" spans="21:25">
      <c r="U489" s="783"/>
      <c r="V489" s="783"/>
      <c r="X489" s="783"/>
      <c r="Y489" s="783"/>
    </row>
    <row r="490" spans="21:25">
      <c r="U490" s="783"/>
      <c r="V490" s="783"/>
      <c r="X490" s="783"/>
      <c r="Y490" s="783"/>
    </row>
    <row r="491" spans="21:25">
      <c r="U491" s="783"/>
      <c r="V491" s="783"/>
      <c r="X491" s="783"/>
      <c r="Y491" s="783"/>
    </row>
    <row r="492" spans="21:25">
      <c r="U492" s="783"/>
      <c r="V492" s="783"/>
      <c r="X492" s="783"/>
      <c r="Y492" s="783"/>
    </row>
    <row r="493" spans="21:25">
      <c r="U493" s="783"/>
      <c r="V493" s="783"/>
      <c r="X493" s="783"/>
      <c r="Y493" s="783"/>
    </row>
    <row r="494" spans="21:25">
      <c r="U494" s="783"/>
      <c r="V494" s="783"/>
      <c r="X494" s="783"/>
      <c r="Y494" s="783"/>
    </row>
    <row r="495" spans="21:25">
      <c r="U495" s="783"/>
      <c r="V495" s="783"/>
      <c r="X495" s="783"/>
      <c r="Y495" s="783"/>
    </row>
    <row r="496" spans="21:25">
      <c r="U496" s="783"/>
      <c r="V496" s="783"/>
      <c r="X496" s="783"/>
      <c r="Y496" s="783"/>
    </row>
    <row r="497" spans="21:25">
      <c r="U497" s="783"/>
      <c r="V497" s="783"/>
      <c r="X497" s="783"/>
      <c r="Y497" s="783"/>
    </row>
    <row r="498" spans="21:25">
      <c r="U498" s="783"/>
      <c r="V498" s="783"/>
      <c r="X498" s="783"/>
      <c r="Y498" s="783"/>
    </row>
    <row r="499" spans="21:25">
      <c r="U499" s="783"/>
      <c r="V499" s="783"/>
      <c r="X499" s="783"/>
      <c r="Y499" s="783"/>
    </row>
    <row r="500" spans="21:25">
      <c r="U500" s="783"/>
      <c r="V500" s="783"/>
      <c r="X500" s="783"/>
      <c r="Y500" s="783"/>
    </row>
    <row r="501" spans="21:25">
      <c r="U501" s="783"/>
      <c r="V501" s="783"/>
      <c r="X501" s="783"/>
      <c r="Y501" s="783"/>
    </row>
    <row r="502" spans="21:25">
      <c r="U502" s="783"/>
      <c r="V502" s="783"/>
      <c r="X502" s="783"/>
      <c r="Y502" s="783"/>
    </row>
    <row r="503" spans="21:25">
      <c r="U503" s="783"/>
      <c r="V503" s="783"/>
      <c r="X503" s="783"/>
      <c r="Y503" s="783"/>
    </row>
    <row r="504" spans="21:25">
      <c r="U504" s="783"/>
      <c r="V504" s="783"/>
      <c r="X504" s="783"/>
      <c r="Y504" s="783"/>
    </row>
    <row r="505" spans="21:25">
      <c r="U505" s="783"/>
      <c r="V505" s="783"/>
      <c r="X505" s="783"/>
      <c r="Y505" s="783"/>
    </row>
    <row r="506" spans="21:25">
      <c r="U506" s="783"/>
      <c r="V506" s="783"/>
      <c r="X506" s="783"/>
      <c r="Y506" s="783"/>
    </row>
    <row r="507" spans="21:25">
      <c r="U507" s="783"/>
      <c r="V507" s="783"/>
      <c r="X507" s="783"/>
      <c r="Y507" s="783"/>
    </row>
    <row r="508" spans="21:25">
      <c r="U508" s="783"/>
      <c r="V508" s="783"/>
      <c r="X508" s="783"/>
      <c r="Y508" s="783"/>
    </row>
    <row r="509" spans="21:25">
      <c r="U509" s="783"/>
      <c r="V509" s="783"/>
      <c r="X509" s="783"/>
      <c r="Y509" s="783"/>
    </row>
    <row r="510" spans="21:25">
      <c r="U510" s="783"/>
      <c r="V510" s="783"/>
      <c r="X510" s="783"/>
      <c r="Y510" s="783"/>
    </row>
    <row r="511" spans="21:25">
      <c r="U511" s="783"/>
      <c r="V511" s="783"/>
      <c r="X511" s="783"/>
      <c r="Y511" s="783"/>
    </row>
    <row r="512" spans="21:25">
      <c r="U512" s="783"/>
      <c r="V512" s="783"/>
      <c r="X512" s="783"/>
      <c r="Y512" s="783"/>
    </row>
    <row r="513" spans="21:25">
      <c r="U513" s="783"/>
      <c r="V513" s="783"/>
      <c r="X513" s="783"/>
      <c r="Y513" s="783"/>
    </row>
    <row r="514" spans="21:25">
      <c r="U514" s="783"/>
      <c r="V514" s="783"/>
      <c r="X514" s="783"/>
      <c r="Y514" s="783"/>
    </row>
    <row r="515" spans="21:25">
      <c r="U515" s="783"/>
      <c r="V515" s="783"/>
      <c r="X515" s="783"/>
      <c r="Y515" s="783"/>
    </row>
    <row r="516" spans="21:25">
      <c r="U516" s="783"/>
      <c r="V516" s="783"/>
      <c r="X516" s="783"/>
      <c r="Y516" s="783"/>
    </row>
    <row r="517" spans="21:25">
      <c r="U517" s="783"/>
      <c r="V517" s="783"/>
      <c r="X517" s="783"/>
      <c r="Y517" s="783"/>
    </row>
    <row r="518" spans="21:25">
      <c r="U518" s="783"/>
      <c r="V518" s="783"/>
      <c r="X518" s="783"/>
      <c r="Y518" s="783"/>
    </row>
    <row r="519" spans="21:25">
      <c r="U519" s="783"/>
      <c r="V519" s="783"/>
      <c r="X519" s="783"/>
      <c r="Y519" s="783"/>
    </row>
    <row r="520" spans="21:25">
      <c r="U520" s="783"/>
      <c r="V520" s="783"/>
      <c r="X520" s="783"/>
      <c r="Y520" s="783"/>
    </row>
    <row r="521" spans="21:25">
      <c r="U521" s="783"/>
      <c r="V521" s="783"/>
      <c r="X521" s="783"/>
      <c r="Y521" s="783"/>
    </row>
    <row r="522" spans="21:25">
      <c r="U522" s="783"/>
      <c r="V522" s="783"/>
      <c r="X522" s="783"/>
      <c r="Y522" s="783"/>
    </row>
    <row r="523" spans="21:25">
      <c r="U523" s="783"/>
      <c r="V523" s="783"/>
      <c r="X523" s="783"/>
      <c r="Y523" s="783"/>
    </row>
    <row r="524" spans="21:25">
      <c r="U524" s="783"/>
      <c r="V524" s="783"/>
      <c r="X524" s="783"/>
      <c r="Y524" s="783"/>
    </row>
    <row r="525" spans="21:25">
      <c r="U525" s="783"/>
      <c r="V525" s="783"/>
      <c r="X525" s="783"/>
      <c r="Y525" s="783"/>
    </row>
    <row r="526" spans="21:25">
      <c r="U526" s="783"/>
      <c r="V526" s="783"/>
      <c r="X526" s="783"/>
      <c r="Y526" s="783"/>
    </row>
    <row r="527" spans="21:25">
      <c r="U527" s="783"/>
      <c r="V527" s="783"/>
      <c r="X527" s="783"/>
      <c r="Y527" s="783"/>
    </row>
    <row r="528" spans="21:25">
      <c r="U528" s="783"/>
      <c r="V528" s="783"/>
      <c r="X528" s="783"/>
      <c r="Y528" s="783"/>
    </row>
    <row r="529" spans="21:25">
      <c r="U529" s="783"/>
      <c r="V529" s="783"/>
      <c r="X529" s="783"/>
      <c r="Y529" s="783"/>
    </row>
    <row r="530" spans="21:25">
      <c r="U530" s="783"/>
      <c r="V530" s="783"/>
      <c r="X530" s="783"/>
      <c r="Y530" s="783"/>
    </row>
    <row r="531" spans="21:25">
      <c r="U531" s="783"/>
      <c r="V531" s="783"/>
      <c r="X531" s="783"/>
      <c r="Y531" s="783"/>
    </row>
    <row r="532" spans="21:25">
      <c r="U532" s="783"/>
      <c r="V532" s="783"/>
      <c r="X532" s="783"/>
      <c r="Y532" s="783"/>
    </row>
    <row r="533" spans="21:25">
      <c r="U533" s="783"/>
      <c r="V533" s="783"/>
      <c r="X533" s="783"/>
      <c r="Y533" s="783"/>
    </row>
    <row r="534" spans="21:25">
      <c r="U534" s="783"/>
      <c r="V534" s="783"/>
      <c r="X534" s="783"/>
      <c r="Y534" s="783"/>
    </row>
    <row r="535" spans="21:25">
      <c r="U535" s="783"/>
      <c r="V535" s="783"/>
      <c r="X535" s="783"/>
      <c r="Y535" s="783"/>
    </row>
    <row r="536" spans="21:25">
      <c r="U536" s="783"/>
      <c r="V536" s="783"/>
      <c r="X536" s="783"/>
      <c r="Y536" s="783"/>
    </row>
    <row r="537" spans="21:25">
      <c r="U537" s="783"/>
      <c r="V537" s="783"/>
      <c r="X537" s="783"/>
      <c r="Y537" s="783"/>
    </row>
    <row r="538" spans="21:25">
      <c r="U538" s="783"/>
      <c r="V538" s="783"/>
      <c r="X538" s="783"/>
      <c r="Y538" s="783"/>
    </row>
    <row r="539" spans="21:25">
      <c r="U539" s="783"/>
      <c r="V539" s="783"/>
      <c r="X539" s="783"/>
      <c r="Y539" s="783"/>
    </row>
    <row r="540" spans="21:25">
      <c r="U540" s="783"/>
      <c r="V540" s="783"/>
      <c r="X540" s="783"/>
      <c r="Y540" s="783"/>
    </row>
    <row r="541" spans="21:25">
      <c r="U541" s="783"/>
      <c r="V541" s="783"/>
      <c r="X541" s="783"/>
      <c r="Y541" s="783"/>
    </row>
    <row r="542" spans="21:25">
      <c r="U542" s="783"/>
      <c r="V542" s="783"/>
      <c r="X542" s="783"/>
      <c r="Y542" s="783"/>
    </row>
    <row r="543" spans="21:25">
      <c r="U543" s="783"/>
      <c r="V543" s="783"/>
      <c r="X543" s="783"/>
      <c r="Y543" s="783"/>
    </row>
    <row r="544" spans="21:25">
      <c r="U544" s="783"/>
      <c r="V544" s="783"/>
      <c r="X544" s="783"/>
      <c r="Y544" s="783"/>
    </row>
    <row r="545" spans="21:25">
      <c r="U545" s="783"/>
      <c r="V545" s="783"/>
      <c r="X545" s="783"/>
      <c r="Y545" s="783"/>
    </row>
    <row r="546" spans="21:25">
      <c r="U546" s="783"/>
      <c r="V546" s="783"/>
      <c r="X546" s="783"/>
      <c r="Y546" s="783"/>
    </row>
    <row r="547" spans="21:25">
      <c r="U547" s="783"/>
      <c r="V547" s="783"/>
      <c r="X547" s="783"/>
      <c r="Y547" s="783"/>
    </row>
    <row r="548" spans="21:25">
      <c r="U548" s="783"/>
      <c r="V548" s="783"/>
      <c r="X548" s="783"/>
      <c r="Y548" s="783"/>
    </row>
    <row r="549" spans="21:25">
      <c r="U549" s="783"/>
      <c r="V549" s="783"/>
      <c r="X549" s="783"/>
      <c r="Y549" s="783"/>
    </row>
    <row r="550" spans="21:25">
      <c r="U550" s="783"/>
      <c r="V550" s="783"/>
      <c r="X550" s="783"/>
      <c r="Y550" s="783"/>
    </row>
    <row r="551" spans="21:25">
      <c r="U551" s="783"/>
      <c r="V551" s="783"/>
      <c r="X551" s="783"/>
      <c r="Y551" s="783"/>
    </row>
    <row r="552" spans="21:25">
      <c r="U552" s="783"/>
      <c r="V552" s="783"/>
      <c r="X552" s="783"/>
      <c r="Y552" s="783"/>
    </row>
    <row r="553" spans="21:25">
      <c r="U553" s="783"/>
      <c r="V553" s="783"/>
      <c r="X553" s="783"/>
      <c r="Y553" s="783"/>
    </row>
    <row r="554" spans="21:25">
      <c r="U554" s="783"/>
      <c r="V554" s="783"/>
      <c r="X554" s="783"/>
      <c r="Y554" s="783"/>
    </row>
    <row r="555" spans="21:25">
      <c r="U555" s="783"/>
      <c r="V555" s="783"/>
      <c r="X555" s="783"/>
      <c r="Y555" s="783"/>
    </row>
    <row r="556" spans="21:25">
      <c r="U556" s="783"/>
      <c r="V556" s="783"/>
      <c r="X556" s="783"/>
      <c r="Y556" s="783"/>
    </row>
    <row r="557" spans="21:25">
      <c r="U557" s="783"/>
      <c r="V557" s="783"/>
      <c r="X557" s="783"/>
      <c r="Y557" s="783"/>
    </row>
    <row r="558" spans="21:25">
      <c r="U558" s="783"/>
      <c r="V558" s="783"/>
      <c r="X558" s="783"/>
      <c r="Y558" s="783"/>
    </row>
    <row r="559" spans="21:25">
      <c r="U559" s="783"/>
      <c r="V559" s="783"/>
      <c r="X559" s="783"/>
      <c r="Y559" s="783"/>
    </row>
    <row r="560" spans="21:25">
      <c r="U560" s="783"/>
      <c r="V560" s="783"/>
      <c r="X560" s="783"/>
      <c r="Y560" s="783"/>
    </row>
    <row r="561" spans="21:25">
      <c r="U561" s="783"/>
      <c r="V561" s="783"/>
      <c r="X561" s="783"/>
      <c r="Y561" s="783"/>
    </row>
    <row r="562" spans="21:25">
      <c r="U562" s="783"/>
      <c r="V562" s="783"/>
      <c r="X562" s="783"/>
      <c r="Y562" s="783"/>
    </row>
    <row r="563" spans="21:25">
      <c r="U563" s="783"/>
      <c r="V563" s="783"/>
      <c r="X563" s="783"/>
      <c r="Y563" s="783"/>
    </row>
    <row r="564" spans="21:25">
      <c r="U564" s="783"/>
      <c r="V564" s="783"/>
      <c r="X564" s="783"/>
      <c r="Y564" s="783"/>
    </row>
    <row r="565" spans="21:25">
      <c r="U565" s="783"/>
      <c r="V565" s="783"/>
      <c r="X565" s="783"/>
      <c r="Y565" s="783"/>
    </row>
    <row r="566" spans="21:25">
      <c r="U566" s="783"/>
      <c r="V566" s="783"/>
      <c r="X566" s="783"/>
      <c r="Y566" s="783"/>
    </row>
    <row r="567" spans="21:25">
      <c r="U567" s="783"/>
      <c r="V567" s="783"/>
      <c r="X567" s="783"/>
      <c r="Y567" s="783"/>
    </row>
    <row r="568" spans="21:25">
      <c r="U568" s="783"/>
      <c r="V568" s="783"/>
      <c r="X568" s="783"/>
      <c r="Y568" s="783"/>
    </row>
    <row r="569" spans="21:25">
      <c r="U569" s="783"/>
      <c r="V569" s="783"/>
      <c r="X569" s="783"/>
      <c r="Y569" s="783"/>
    </row>
    <row r="570" spans="21:25">
      <c r="U570" s="783"/>
      <c r="V570" s="783"/>
      <c r="X570" s="783"/>
      <c r="Y570" s="783"/>
    </row>
    <row r="571" spans="21:25">
      <c r="U571" s="783"/>
      <c r="V571" s="783"/>
      <c r="X571" s="783"/>
      <c r="Y571" s="783"/>
    </row>
    <row r="572" spans="21:25">
      <c r="U572" s="783"/>
      <c r="V572" s="783"/>
      <c r="X572" s="783"/>
      <c r="Y572" s="783"/>
    </row>
    <row r="573" spans="21:25">
      <c r="U573" s="783"/>
      <c r="V573" s="783"/>
      <c r="X573" s="783"/>
      <c r="Y573" s="783"/>
    </row>
    <row r="574" spans="21:25">
      <c r="U574" s="783"/>
      <c r="V574" s="783"/>
      <c r="X574" s="783"/>
      <c r="Y574" s="783"/>
    </row>
    <row r="575" spans="21:25">
      <c r="U575" s="783"/>
      <c r="V575" s="783"/>
      <c r="X575" s="783"/>
      <c r="Y575" s="783"/>
    </row>
    <row r="576" spans="21:25">
      <c r="U576" s="783"/>
      <c r="V576" s="783"/>
      <c r="X576" s="783"/>
      <c r="Y576" s="783"/>
    </row>
    <row r="577" spans="21:25">
      <c r="U577" s="783"/>
      <c r="V577" s="783"/>
      <c r="X577" s="783"/>
      <c r="Y577" s="783"/>
    </row>
    <row r="578" spans="21:25">
      <c r="U578" s="783"/>
      <c r="V578" s="783"/>
      <c r="X578" s="783"/>
      <c r="Y578" s="783"/>
    </row>
    <row r="579" spans="21:25">
      <c r="U579" s="783"/>
      <c r="V579" s="783"/>
      <c r="X579" s="783"/>
      <c r="Y579" s="783"/>
    </row>
    <row r="580" spans="21:25">
      <c r="U580" s="783"/>
      <c r="V580" s="783"/>
      <c r="X580" s="783"/>
      <c r="Y580" s="783"/>
    </row>
    <row r="581" spans="21:25">
      <c r="U581" s="783"/>
      <c r="V581" s="783"/>
      <c r="X581" s="783"/>
      <c r="Y581" s="783"/>
    </row>
    <row r="582" spans="21:25">
      <c r="U582" s="783"/>
      <c r="V582" s="783"/>
      <c r="X582" s="783"/>
      <c r="Y582" s="783"/>
    </row>
    <row r="583" spans="21:25">
      <c r="U583" s="783"/>
      <c r="V583" s="783"/>
      <c r="X583" s="783"/>
      <c r="Y583" s="783"/>
    </row>
    <row r="584" spans="21:25">
      <c r="U584" s="783"/>
      <c r="V584" s="783"/>
      <c r="X584" s="783"/>
      <c r="Y584" s="783"/>
    </row>
    <row r="585" spans="21:25">
      <c r="U585" s="783"/>
      <c r="V585" s="783"/>
      <c r="X585" s="783"/>
      <c r="Y585" s="783"/>
    </row>
    <row r="586" spans="21:25">
      <c r="U586" s="783"/>
      <c r="V586" s="783"/>
      <c r="X586" s="783"/>
      <c r="Y586" s="783"/>
    </row>
    <row r="587" spans="21:25">
      <c r="U587" s="783"/>
      <c r="V587" s="783"/>
      <c r="X587" s="783"/>
      <c r="Y587" s="783"/>
    </row>
    <row r="588" spans="21:25">
      <c r="U588" s="783"/>
      <c r="V588" s="783"/>
      <c r="X588" s="783"/>
      <c r="Y588" s="783"/>
    </row>
    <row r="589" spans="21:25">
      <c r="U589" s="783"/>
      <c r="V589" s="783"/>
      <c r="X589" s="783"/>
      <c r="Y589" s="783"/>
    </row>
    <row r="590" spans="21:25">
      <c r="U590" s="783"/>
      <c r="V590" s="783"/>
      <c r="X590" s="783"/>
      <c r="Y590" s="783"/>
    </row>
    <row r="591" spans="21:25">
      <c r="U591" s="783"/>
      <c r="V591" s="783"/>
      <c r="X591" s="783"/>
      <c r="Y591" s="783"/>
    </row>
    <row r="592" spans="21:25">
      <c r="U592" s="783"/>
      <c r="V592" s="783"/>
      <c r="X592" s="783"/>
      <c r="Y592" s="783"/>
    </row>
    <row r="593" spans="21:25">
      <c r="U593" s="783"/>
      <c r="V593" s="783"/>
      <c r="X593" s="783"/>
      <c r="Y593" s="783"/>
    </row>
    <row r="594" spans="21:25">
      <c r="U594" s="783"/>
      <c r="V594" s="783"/>
      <c r="X594" s="783"/>
      <c r="Y594" s="783"/>
    </row>
    <row r="595" spans="21:25">
      <c r="U595" s="783"/>
      <c r="V595" s="783"/>
      <c r="X595" s="783"/>
      <c r="Y595" s="783"/>
    </row>
    <row r="596" spans="21:25">
      <c r="U596" s="783"/>
      <c r="V596" s="783"/>
      <c r="X596" s="783"/>
      <c r="Y596" s="783"/>
    </row>
    <row r="597" spans="21:25">
      <c r="U597" s="783"/>
      <c r="V597" s="783"/>
      <c r="X597" s="783"/>
      <c r="Y597" s="783"/>
    </row>
    <row r="598" spans="21:25">
      <c r="U598" s="783"/>
      <c r="V598" s="783"/>
      <c r="X598" s="783"/>
      <c r="Y598" s="783"/>
    </row>
    <row r="599" spans="21:25">
      <c r="U599" s="783"/>
      <c r="V599" s="783"/>
      <c r="X599" s="783"/>
      <c r="Y599" s="783"/>
    </row>
    <row r="600" spans="21:25">
      <c r="X600" s="783"/>
      <c r="Y600" s="783"/>
    </row>
    <row r="601" spans="21:25">
      <c r="X601" s="783"/>
      <c r="Y601" s="783"/>
    </row>
    <row r="602" spans="21:25">
      <c r="X602" s="783"/>
      <c r="Y602" s="783"/>
    </row>
    <row r="603" spans="21:25">
      <c r="X603" s="783"/>
      <c r="Y603" s="783"/>
    </row>
    <row r="604" spans="21:25">
      <c r="X604" s="783"/>
      <c r="Y604" s="783"/>
    </row>
    <row r="605" spans="21:25">
      <c r="X605" s="783"/>
      <c r="Y605" s="783"/>
    </row>
    <row r="606" spans="21:25">
      <c r="X606" s="783"/>
      <c r="Y606" s="783"/>
    </row>
    <row r="607" spans="21:25">
      <c r="X607" s="783"/>
      <c r="Y607" s="783"/>
    </row>
    <row r="608" spans="21:25">
      <c r="X608" s="783"/>
      <c r="Y608" s="783"/>
    </row>
    <row r="609" spans="24:25">
      <c r="X609" s="783"/>
      <c r="Y609" s="783"/>
    </row>
    <row r="610" spans="24:25">
      <c r="X610" s="783"/>
      <c r="Y610" s="783"/>
    </row>
    <row r="611" spans="24:25">
      <c r="X611" s="783"/>
      <c r="Y611" s="783"/>
    </row>
    <row r="612" spans="24:25">
      <c r="X612" s="783"/>
      <c r="Y612" s="783"/>
    </row>
    <row r="613" spans="24:25">
      <c r="X613" s="783"/>
      <c r="Y613" s="783"/>
    </row>
    <row r="614" spans="24:25">
      <c r="X614" s="783"/>
      <c r="Y614" s="783"/>
    </row>
    <row r="615" spans="24:25">
      <c r="X615" s="783"/>
      <c r="Y615" s="783"/>
    </row>
    <row r="616" spans="24:25">
      <c r="X616" s="783"/>
      <c r="Y616" s="783"/>
    </row>
    <row r="617" spans="24:25">
      <c r="X617" s="783"/>
      <c r="Y617" s="783"/>
    </row>
    <row r="618" spans="24:25">
      <c r="X618" s="783"/>
      <c r="Y618" s="783"/>
    </row>
    <row r="619" spans="24:25">
      <c r="X619" s="783"/>
      <c r="Y619" s="783"/>
    </row>
    <row r="620" spans="24:25">
      <c r="X620" s="783"/>
      <c r="Y620" s="783"/>
    </row>
    <row r="621" spans="24:25">
      <c r="X621" s="783"/>
      <c r="Y621" s="783"/>
    </row>
    <row r="622" spans="24:25">
      <c r="X622" s="783"/>
      <c r="Y622" s="783"/>
    </row>
    <row r="623" spans="24:25">
      <c r="X623" s="783"/>
      <c r="Y623" s="783"/>
    </row>
    <row r="624" spans="24:25">
      <c r="X624" s="783"/>
      <c r="Y624" s="783"/>
    </row>
    <row r="625" spans="24:25">
      <c r="X625" s="783"/>
      <c r="Y625" s="783"/>
    </row>
    <row r="626" spans="24:25">
      <c r="X626" s="783"/>
      <c r="Y626" s="783"/>
    </row>
    <row r="627" spans="24:25">
      <c r="X627" s="783"/>
      <c r="Y627" s="783"/>
    </row>
    <row r="628" spans="24:25">
      <c r="X628" s="783"/>
      <c r="Y628" s="783"/>
    </row>
    <row r="629" spans="24:25">
      <c r="X629" s="783"/>
      <c r="Y629" s="783"/>
    </row>
    <row r="630" spans="24:25">
      <c r="X630" s="783"/>
      <c r="Y630" s="783"/>
    </row>
    <row r="631" spans="24:25">
      <c r="X631" s="783"/>
      <c r="Y631" s="783"/>
    </row>
    <row r="632" spans="24:25">
      <c r="X632" s="783"/>
      <c r="Y632" s="783"/>
    </row>
    <row r="633" spans="24:25">
      <c r="X633" s="783"/>
      <c r="Y633" s="783"/>
    </row>
    <row r="634" spans="24:25">
      <c r="X634" s="783"/>
      <c r="Y634" s="783"/>
    </row>
    <row r="635" spans="24:25">
      <c r="X635" s="783"/>
      <c r="Y635" s="783"/>
    </row>
    <row r="636" spans="24:25">
      <c r="X636" s="783"/>
      <c r="Y636" s="783"/>
    </row>
    <row r="637" spans="24:25">
      <c r="X637" s="783"/>
      <c r="Y637" s="783"/>
    </row>
    <row r="638" spans="24:25">
      <c r="X638" s="783"/>
      <c r="Y638" s="783"/>
    </row>
    <row r="639" spans="24:25">
      <c r="X639" s="783"/>
      <c r="Y639" s="783"/>
    </row>
    <row r="640" spans="24:25">
      <c r="X640" s="783"/>
      <c r="Y640" s="783"/>
    </row>
    <row r="641" spans="24:25">
      <c r="X641" s="783"/>
      <c r="Y641" s="783"/>
    </row>
    <row r="642" spans="24:25">
      <c r="X642" s="783"/>
      <c r="Y642" s="783"/>
    </row>
    <row r="643" spans="24:25">
      <c r="X643" s="783"/>
      <c r="Y643" s="783"/>
    </row>
    <row r="644" spans="24:25">
      <c r="X644" s="783"/>
      <c r="Y644" s="783"/>
    </row>
    <row r="645" spans="24:25">
      <c r="X645" s="783"/>
      <c r="Y645" s="783"/>
    </row>
    <row r="646" spans="24:25">
      <c r="X646" s="783"/>
      <c r="Y646" s="783"/>
    </row>
    <row r="647" spans="24:25">
      <c r="X647" s="783"/>
      <c r="Y647" s="783"/>
    </row>
    <row r="648" spans="24:25">
      <c r="X648" s="783"/>
      <c r="Y648" s="783"/>
    </row>
    <row r="649" spans="24:25">
      <c r="X649" s="783"/>
      <c r="Y649" s="783"/>
    </row>
    <row r="650" spans="24:25">
      <c r="X650" s="783"/>
      <c r="Y650" s="783"/>
    </row>
    <row r="651" spans="24:25">
      <c r="X651" s="783"/>
      <c r="Y651" s="783"/>
    </row>
    <row r="652" spans="24:25">
      <c r="X652" s="783"/>
      <c r="Y652" s="783"/>
    </row>
    <row r="653" spans="24:25">
      <c r="X653" s="783"/>
      <c r="Y653" s="783"/>
    </row>
    <row r="654" spans="24:25">
      <c r="X654" s="783"/>
      <c r="Y654" s="783"/>
    </row>
    <row r="655" spans="24:25">
      <c r="X655" s="783"/>
      <c r="Y655" s="783"/>
    </row>
    <row r="656" spans="24:25">
      <c r="X656" s="783"/>
      <c r="Y656" s="783"/>
    </row>
    <row r="657" spans="24:25">
      <c r="X657" s="783"/>
      <c r="Y657" s="783"/>
    </row>
    <row r="658" spans="24:25">
      <c r="X658" s="783"/>
      <c r="Y658" s="783"/>
    </row>
    <row r="659" spans="24:25">
      <c r="X659" s="783"/>
      <c r="Y659" s="783"/>
    </row>
    <row r="660" spans="24:25">
      <c r="X660" s="783"/>
      <c r="Y660" s="783"/>
    </row>
    <row r="661" spans="24:25">
      <c r="X661" s="783"/>
      <c r="Y661" s="783"/>
    </row>
    <row r="662" spans="24:25">
      <c r="X662" s="783"/>
      <c r="Y662" s="783"/>
    </row>
    <row r="663" spans="24:25">
      <c r="X663" s="783"/>
      <c r="Y663" s="783"/>
    </row>
    <row r="664" spans="24:25">
      <c r="X664" s="783"/>
      <c r="Y664" s="783"/>
    </row>
    <row r="665" spans="24:25">
      <c r="X665" s="783"/>
      <c r="Y665" s="783"/>
    </row>
    <row r="666" spans="24:25">
      <c r="X666" s="783"/>
      <c r="Y666" s="783"/>
    </row>
    <row r="667" spans="24:25">
      <c r="X667" s="783"/>
      <c r="Y667" s="783"/>
    </row>
    <row r="668" spans="24:25">
      <c r="X668" s="783"/>
      <c r="Y668" s="783"/>
    </row>
    <row r="669" spans="24:25">
      <c r="X669" s="783"/>
      <c r="Y669" s="783"/>
    </row>
    <row r="670" spans="24:25">
      <c r="X670" s="783"/>
      <c r="Y670" s="783"/>
    </row>
    <row r="671" spans="24:25">
      <c r="X671" s="783"/>
      <c r="Y671" s="783"/>
    </row>
    <row r="672" spans="24:25">
      <c r="X672" s="783"/>
      <c r="Y672" s="783"/>
    </row>
    <row r="673" spans="24:25">
      <c r="X673" s="783"/>
      <c r="Y673" s="783"/>
    </row>
    <row r="674" spans="24:25">
      <c r="X674" s="783"/>
      <c r="Y674" s="783"/>
    </row>
    <row r="675" spans="24:25">
      <c r="X675" s="783"/>
      <c r="Y675" s="783"/>
    </row>
    <row r="676" spans="24:25">
      <c r="X676" s="783"/>
      <c r="Y676" s="783"/>
    </row>
    <row r="677" spans="24:25">
      <c r="X677" s="783"/>
      <c r="Y677" s="783"/>
    </row>
    <row r="678" spans="24:25">
      <c r="X678" s="783"/>
      <c r="Y678" s="783"/>
    </row>
    <row r="679" spans="24:25">
      <c r="X679" s="783"/>
      <c r="Y679" s="783"/>
    </row>
    <row r="680" spans="24:25">
      <c r="X680" s="783"/>
      <c r="Y680" s="783"/>
    </row>
    <row r="681" spans="24:25">
      <c r="X681" s="783"/>
      <c r="Y681" s="783"/>
    </row>
    <row r="682" spans="24:25">
      <c r="X682" s="783"/>
      <c r="Y682" s="783"/>
    </row>
    <row r="683" spans="24:25">
      <c r="X683" s="783"/>
      <c r="Y683" s="783"/>
    </row>
    <row r="684" spans="24:25">
      <c r="X684" s="783"/>
      <c r="Y684" s="783"/>
    </row>
    <row r="685" spans="24:25">
      <c r="X685" s="783"/>
      <c r="Y685" s="783"/>
    </row>
    <row r="686" spans="24:25">
      <c r="X686" s="783"/>
      <c r="Y686" s="783"/>
    </row>
    <row r="687" spans="24:25">
      <c r="X687" s="783"/>
      <c r="Y687" s="783"/>
    </row>
    <row r="688" spans="24:25">
      <c r="X688" s="783"/>
      <c r="Y688" s="783"/>
    </row>
    <row r="689" spans="24:25">
      <c r="X689" s="783"/>
      <c r="Y689" s="783"/>
    </row>
    <row r="690" spans="24:25">
      <c r="X690" s="783"/>
      <c r="Y690" s="783"/>
    </row>
    <row r="691" spans="24:25">
      <c r="X691" s="783"/>
      <c r="Y691" s="783"/>
    </row>
    <row r="692" spans="24:25">
      <c r="X692" s="783"/>
      <c r="Y692" s="783"/>
    </row>
    <row r="693" spans="24:25">
      <c r="X693" s="783"/>
      <c r="Y693" s="783"/>
    </row>
    <row r="694" spans="24:25">
      <c r="X694" s="783"/>
      <c r="Y694" s="783"/>
    </row>
    <row r="695" spans="24:25">
      <c r="X695" s="783"/>
      <c r="Y695" s="783"/>
    </row>
    <row r="696" spans="24:25">
      <c r="X696" s="783"/>
      <c r="Y696" s="783"/>
    </row>
    <row r="697" spans="24:25">
      <c r="X697" s="783"/>
      <c r="Y697" s="783"/>
    </row>
    <row r="698" spans="24:25">
      <c r="X698" s="783"/>
      <c r="Y698" s="783"/>
    </row>
    <row r="699" spans="24:25">
      <c r="X699" s="783"/>
      <c r="Y699" s="783"/>
    </row>
    <row r="700" spans="24:25">
      <c r="X700" s="783"/>
      <c r="Y700" s="783"/>
    </row>
    <row r="701" spans="24:25">
      <c r="X701" s="783"/>
      <c r="Y701" s="783"/>
    </row>
    <row r="702" spans="24:25">
      <c r="X702" s="783"/>
      <c r="Y702" s="783"/>
    </row>
    <row r="703" spans="24:25">
      <c r="X703" s="783"/>
      <c r="Y703" s="783"/>
    </row>
    <row r="704" spans="24:25">
      <c r="X704" s="783"/>
      <c r="Y704" s="783"/>
    </row>
    <row r="705" spans="24:25">
      <c r="X705" s="783"/>
      <c r="Y705" s="783"/>
    </row>
    <row r="706" spans="24:25">
      <c r="X706" s="783"/>
      <c r="Y706" s="783"/>
    </row>
    <row r="707" spans="24:25">
      <c r="X707" s="783"/>
      <c r="Y707" s="783"/>
    </row>
    <row r="708" spans="24:25">
      <c r="X708" s="783"/>
      <c r="Y708" s="783"/>
    </row>
    <row r="709" spans="24:25">
      <c r="X709" s="783"/>
      <c r="Y709" s="783"/>
    </row>
    <row r="710" spans="24:25">
      <c r="X710" s="783"/>
      <c r="Y710" s="783"/>
    </row>
    <row r="711" spans="24:25">
      <c r="X711" s="783"/>
      <c r="Y711" s="783"/>
    </row>
    <row r="712" spans="24:25">
      <c r="X712" s="783"/>
      <c r="Y712" s="783"/>
    </row>
    <row r="713" spans="24:25">
      <c r="X713" s="783"/>
      <c r="Y713" s="783"/>
    </row>
    <row r="714" spans="24:25">
      <c r="X714" s="783"/>
      <c r="Y714" s="783"/>
    </row>
    <row r="715" spans="24:25">
      <c r="X715" s="783"/>
      <c r="Y715" s="783"/>
    </row>
    <row r="716" spans="24:25">
      <c r="X716" s="783"/>
      <c r="Y716" s="783"/>
    </row>
    <row r="717" spans="24:25">
      <c r="X717" s="783"/>
      <c r="Y717" s="783"/>
    </row>
    <row r="718" spans="24:25">
      <c r="X718" s="783"/>
      <c r="Y718" s="783"/>
    </row>
    <row r="719" spans="24:25">
      <c r="X719" s="783"/>
      <c r="Y719" s="783"/>
    </row>
    <row r="720" spans="24:25">
      <c r="X720" s="783"/>
      <c r="Y720" s="783"/>
    </row>
    <row r="721" spans="24:25">
      <c r="X721" s="783"/>
      <c r="Y721" s="783"/>
    </row>
    <row r="722" spans="24:25">
      <c r="X722" s="783"/>
      <c r="Y722" s="783"/>
    </row>
    <row r="723" spans="24:25">
      <c r="X723" s="783"/>
      <c r="Y723" s="783"/>
    </row>
    <row r="724" spans="24:25">
      <c r="X724" s="783"/>
      <c r="Y724" s="783"/>
    </row>
    <row r="725" spans="24:25">
      <c r="X725" s="783"/>
      <c r="Y725" s="783"/>
    </row>
    <row r="726" spans="24:25">
      <c r="X726" s="783"/>
      <c r="Y726" s="783"/>
    </row>
    <row r="727" spans="24:25">
      <c r="X727" s="783"/>
      <c r="Y727" s="783"/>
    </row>
    <row r="728" spans="24:25">
      <c r="X728" s="783"/>
      <c r="Y728" s="783"/>
    </row>
    <row r="729" spans="24:25">
      <c r="X729" s="783"/>
      <c r="Y729" s="783"/>
    </row>
    <row r="730" spans="24:25">
      <c r="X730" s="783"/>
      <c r="Y730" s="783"/>
    </row>
    <row r="731" spans="24:25">
      <c r="X731" s="783"/>
      <c r="Y731" s="783"/>
    </row>
    <row r="732" spans="24:25">
      <c r="X732" s="783"/>
      <c r="Y732" s="783"/>
    </row>
    <row r="733" spans="24:25">
      <c r="X733" s="783"/>
      <c r="Y733" s="783"/>
    </row>
    <row r="734" spans="24:25">
      <c r="X734" s="783"/>
      <c r="Y734" s="783"/>
    </row>
    <row r="735" spans="24:25">
      <c r="X735" s="783"/>
      <c r="Y735" s="783"/>
    </row>
    <row r="736" spans="24:25">
      <c r="X736" s="783"/>
      <c r="Y736" s="783"/>
    </row>
    <row r="737" spans="24:25">
      <c r="X737" s="783"/>
      <c r="Y737" s="783"/>
    </row>
    <row r="738" spans="24:25">
      <c r="X738" s="783"/>
      <c r="Y738" s="783"/>
    </row>
    <row r="739" spans="24:25">
      <c r="X739" s="783"/>
      <c r="Y739" s="783"/>
    </row>
    <row r="740" spans="24:25">
      <c r="X740" s="783"/>
      <c r="Y740" s="783"/>
    </row>
    <row r="741" spans="24:25">
      <c r="X741" s="783"/>
      <c r="Y741" s="783"/>
    </row>
  </sheetData>
  <mergeCells count="1">
    <mergeCell ref="T15:T18"/>
  </mergeCells>
  <phoneticPr fontId="0" type="noConversion"/>
  <printOptions horizontalCentered="1"/>
  <pageMargins left="0.25" right="0.19" top="0.5" bottom="0.75" header="0.5" footer="0.5"/>
  <pageSetup paperSize="5" scale="65" fitToHeight="100" orientation="landscape" r:id="rId1"/>
  <headerFooter alignWithMargins="0">
    <oddFooter>Page &amp;P of &amp;N</oddFooter>
  </headerFooter>
  <rowBreaks count="25" manualBreakCount="25">
    <brk id="3" max="65535" man="1"/>
    <brk id="39" max="16383" man="1"/>
    <brk id="140" max="16383" man="1"/>
    <brk id="188" max="16383" man="1"/>
    <brk id="274" max="16383" man="1"/>
    <brk id="312" max="16383" man="1"/>
    <brk id="350" max="16383" man="1"/>
    <brk id="383" max="16383" man="1"/>
    <brk id="395" max="16383" man="1"/>
    <brk id="427" max="16383" man="1"/>
    <brk id="713" max="65535" man="1"/>
    <brk id="742" max="65535" man="1"/>
    <brk id="815" max="65535" man="1"/>
    <brk id="844" max="65535" man="1"/>
    <brk id="895" max="65535" man="1"/>
    <brk id="981" max="65535" man="1"/>
    <brk id="1236" max="65535" man="1"/>
    <brk id="1326" max="65535" man="1"/>
    <brk id="1393" max="65535" man="1"/>
    <brk id="1471" max="65535" man="1"/>
    <brk id="1538" max="65535" man="1"/>
    <brk id="1695" max="65535" man="1"/>
    <brk id="1728" max="65535" man="1"/>
    <brk id="1768" max="65535" man="1"/>
    <brk id="1833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F20" sqref="F20"/>
    </sheetView>
  </sheetViews>
  <sheetFormatPr defaultRowHeight="10.5"/>
  <cols>
    <col min="1" max="1" width="40.33203125" customWidth="1"/>
    <col min="3" max="3" width="10.33203125" bestFit="1" customWidth="1"/>
    <col min="4" max="4" width="10.1640625" bestFit="1" customWidth="1"/>
    <col min="7" max="7" width="9.6640625" bestFit="1" customWidth="1"/>
    <col min="8" max="8" width="10.6640625" bestFit="1" customWidth="1"/>
    <col min="9" max="9" width="13.33203125" bestFit="1" customWidth="1"/>
  </cols>
  <sheetData>
    <row r="1" spans="1:9">
      <c r="A1" s="785" t="s">
        <v>357</v>
      </c>
    </row>
    <row r="2" spans="1:9">
      <c r="B2" s="779" t="s">
        <v>330</v>
      </c>
      <c r="C2" s="779" t="s">
        <v>329</v>
      </c>
      <c r="D2" s="779" t="s">
        <v>24</v>
      </c>
    </row>
    <row r="3" spans="1:9">
      <c r="B3" s="780" t="s">
        <v>303</v>
      </c>
      <c r="C3" s="780" t="s">
        <v>304</v>
      </c>
      <c r="D3" s="780" t="s">
        <v>304</v>
      </c>
    </row>
    <row r="4" spans="1:9">
      <c r="A4" t="s">
        <v>331</v>
      </c>
      <c r="B4" s="776">
        <f>'exhibit 1'!P24</f>
        <v>755</v>
      </c>
      <c r="C4" s="781">
        <f>'exhibit 1'!Q24</f>
        <v>0</v>
      </c>
      <c r="D4" s="781">
        <f>'exhibit 1'!R24</f>
        <v>0</v>
      </c>
    </row>
    <row r="5" spans="1:9">
      <c r="A5" t="s">
        <v>332</v>
      </c>
      <c r="B5" s="776">
        <f>'exhibit 1'!P37</f>
        <v>89</v>
      </c>
      <c r="C5" s="781">
        <f>'exhibit 1'!Q37</f>
        <v>0</v>
      </c>
      <c r="D5" s="781">
        <f>'exhibit 1'!R37</f>
        <v>5008</v>
      </c>
    </row>
    <row r="6" spans="1:9">
      <c r="A6" t="s">
        <v>334</v>
      </c>
      <c r="B6" s="776">
        <f>'exhibit 1'!P138</f>
        <v>39891.991333333332</v>
      </c>
      <c r="C6" s="781">
        <f>'exhibit 1'!Q138</f>
        <v>86000</v>
      </c>
      <c r="D6" s="781">
        <f>'exhibit 1'!R138</f>
        <v>9865.5</v>
      </c>
    </row>
    <row r="7" spans="1:9">
      <c r="A7" t="s">
        <v>333</v>
      </c>
      <c r="B7" s="776">
        <f>'exhibit 1'!P185</f>
        <v>57780.833333333336</v>
      </c>
      <c r="C7" s="781">
        <f>'exhibit 1'!Q185</f>
        <v>0</v>
      </c>
      <c r="D7" s="781">
        <f>'exhibit 1'!R185</f>
        <v>3929421.333333334</v>
      </c>
    </row>
    <row r="8" spans="1:9">
      <c r="A8" t="s">
        <v>335</v>
      </c>
      <c r="B8" s="776">
        <f>'exhibit 1'!P271</f>
        <v>833.60000000000014</v>
      </c>
      <c r="C8" s="781">
        <f>'exhibit 1'!Q271</f>
        <v>0</v>
      </c>
      <c r="D8" s="781">
        <f>'exhibit 1'!R271</f>
        <v>153.60000000000002</v>
      </c>
    </row>
    <row r="9" spans="1:9">
      <c r="A9" t="s">
        <v>336</v>
      </c>
      <c r="B9" s="776">
        <f>'exhibit 1'!P308</f>
        <v>15747.2</v>
      </c>
      <c r="C9" s="781">
        <f>'exhibit 1'!Q308</f>
        <v>0</v>
      </c>
      <c r="D9" s="781">
        <f>'exhibit 1'!R308</f>
        <v>1254.4000000000001</v>
      </c>
    </row>
    <row r="10" spans="1:9">
      <c r="A10" t="s">
        <v>337</v>
      </c>
      <c r="B10" s="776">
        <f>'exhibit 1'!P346</f>
        <v>989.46000000000015</v>
      </c>
      <c r="C10" s="781">
        <f>'exhibit 1'!Q346</f>
        <v>1258.3333333333335</v>
      </c>
      <c r="D10" s="781">
        <f>'exhibit 1'!R346</f>
        <v>2904.0533333333333</v>
      </c>
    </row>
    <row r="11" spans="1:9">
      <c r="A11" t="s">
        <v>341</v>
      </c>
      <c r="B11" s="776">
        <f>'exhibit 1'!P381</f>
        <v>4942</v>
      </c>
      <c r="C11" s="781">
        <f>'exhibit 1'!Q381</f>
        <v>12800.64</v>
      </c>
      <c r="D11" s="781">
        <f>'exhibit 1'!R381</f>
        <v>345.6</v>
      </c>
    </row>
    <row r="12" spans="1:9">
      <c r="A12" t="s">
        <v>338</v>
      </c>
      <c r="B12" s="776">
        <f>'exhibit 1'!P392</f>
        <v>384</v>
      </c>
      <c r="C12" s="781">
        <f>'exhibit 1'!Q392</f>
        <v>0</v>
      </c>
      <c r="D12" s="781">
        <f>'exhibit 1'!R392</f>
        <v>102.4</v>
      </c>
    </row>
    <row r="13" spans="1:9">
      <c r="A13" t="s">
        <v>339</v>
      </c>
      <c r="B13" s="776">
        <f>'exhibit 1'!P424</f>
        <v>16278.4</v>
      </c>
      <c r="C13" s="781">
        <f>'exhibit 1'!Q424</f>
        <v>0</v>
      </c>
      <c r="D13" s="781">
        <f>'exhibit 1'!R424</f>
        <v>512</v>
      </c>
    </row>
    <row r="14" spans="1:9">
      <c r="A14" t="s">
        <v>340</v>
      </c>
      <c r="B14" s="776">
        <f>'exhibit 1'!P437</f>
        <v>742.43333333333339</v>
      </c>
      <c r="C14" s="781">
        <f>'exhibit 1'!Q437</f>
        <v>0</v>
      </c>
      <c r="D14" s="781">
        <f>'exhibit 1'!R437</f>
        <v>126.13333333333334</v>
      </c>
    </row>
    <row r="15" spans="1:9" ht="11.25" thickBot="1">
      <c r="B15" s="778">
        <f>SUM(B4:B14)</f>
        <v>138433.91800000001</v>
      </c>
      <c r="C15" s="777">
        <f>SUM(C4:C14)</f>
        <v>100058.97333333333</v>
      </c>
      <c r="D15" s="777">
        <f>SUM(D4:D14)</f>
        <v>3949693.0200000005</v>
      </c>
      <c r="G15" s="798">
        <f>B15-B32</f>
        <v>-63093.179833333357</v>
      </c>
      <c r="H15" s="781">
        <f>C15-C32</f>
        <v>-7683.4866666666785</v>
      </c>
      <c r="I15" s="799">
        <f>D15-D32</f>
        <v>-1209436.0599999996</v>
      </c>
    </row>
    <row r="16" spans="1:9" ht="11.25" thickTop="1">
      <c r="B16">
        <f>B15/'exhibit 1'!T10</f>
        <v>721.00998958333332</v>
      </c>
    </row>
    <row r="18" spans="1:4">
      <c r="A18" s="785" t="s">
        <v>356</v>
      </c>
    </row>
    <row r="19" spans="1:4">
      <c r="B19" s="779" t="s">
        <v>330</v>
      </c>
      <c r="C19" s="779" t="s">
        <v>329</v>
      </c>
      <c r="D19" s="779" t="s">
        <v>24</v>
      </c>
    </row>
    <row r="20" spans="1:4">
      <c r="B20" s="780" t="s">
        <v>303</v>
      </c>
      <c r="C20" s="780" t="s">
        <v>304</v>
      </c>
      <c r="D20" s="780" t="s">
        <v>304</v>
      </c>
    </row>
    <row r="21" spans="1:4">
      <c r="A21" t="s">
        <v>331</v>
      </c>
      <c r="B21" s="776">
        <v>1190</v>
      </c>
      <c r="C21" s="781">
        <v>0</v>
      </c>
      <c r="D21" s="781">
        <v>0</v>
      </c>
    </row>
    <row r="22" spans="1:4">
      <c r="A22" t="s">
        <v>332</v>
      </c>
      <c r="B22" s="776">
        <v>89</v>
      </c>
      <c r="C22" s="781">
        <v>0</v>
      </c>
      <c r="D22" s="781">
        <v>5008</v>
      </c>
    </row>
    <row r="23" spans="1:4">
      <c r="A23" t="s">
        <v>334</v>
      </c>
      <c r="B23" s="776">
        <v>51220.712</v>
      </c>
      <c r="C23" s="781">
        <v>78000</v>
      </c>
      <c r="D23" s="781">
        <v>12171.2</v>
      </c>
    </row>
    <row r="24" spans="1:4">
      <c r="A24" t="s">
        <v>333</v>
      </c>
      <c r="B24" s="776">
        <v>83894.466666666674</v>
      </c>
      <c r="C24" s="781">
        <v>0</v>
      </c>
      <c r="D24" s="781">
        <v>5109576.0666666683</v>
      </c>
    </row>
    <row r="25" spans="1:4">
      <c r="A25" t="s">
        <v>335</v>
      </c>
      <c r="B25" s="776">
        <v>1033.3166666666668</v>
      </c>
      <c r="C25" s="781">
        <v>0</v>
      </c>
      <c r="D25" s="781">
        <v>190.4</v>
      </c>
    </row>
    <row r="26" spans="1:4">
      <c r="A26" t="s">
        <v>336</v>
      </c>
      <c r="B26" s="776">
        <v>19519.966666666667</v>
      </c>
      <c r="C26" s="781">
        <v>0</v>
      </c>
      <c r="D26" s="781">
        <v>1554.9333333333334</v>
      </c>
    </row>
    <row r="27" spans="1:4">
      <c r="A27" t="s">
        <v>337</v>
      </c>
      <c r="B27" s="776">
        <v>10595.365</v>
      </c>
      <c r="C27" s="781">
        <v>13875</v>
      </c>
      <c r="D27" s="781">
        <v>29367.68</v>
      </c>
    </row>
    <row r="28" spans="1:4">
      <c r="A28" t="s">
        <v>341</v>
      </c>
      <c r="B28" s="776">
        <v>6058.5208333333339</v>
      </c>
      <c r="C28" s="781">
        <v>15867.46</v>
      </c>
      <c r="D28" s="781">
        <v>342</v>
      </c>
    </row>
    <row r="29" spans="1:4">
      <c r="A29" t="s">
        <v>338</v>
      </c>
      <c r="B29" s="776">
        <v>476</v>
      </c>
      <c r="C29" s="781">
        <v>0</v>
      </c>
      <c r="D29" s="781">
        <v>126.93333333333335</v>
      </c>
    </row>
    <row r="30" spans="1:4">
      <c r="A30" t="s">
        <v>339</v>
      </c>
      <c r="B30" s="776">
        <v>26525.1</v>
      </c>
      <c r="C30" s="781">
        <v>0</v>
      </c>
      <c r="D30" s="781">
        <v>634.66666666666674</v>
      </c>
    </row>
    <row r="31" spans="1:4">
      <c r="A31" t="s">
        <v>340</v>
      </c>
      <c r="B31" s="776">
        <v>924.65</v>
      </c>
      <c r="C31" s="781">
        <v>0</v>
      </c>
      <c r="D31" s="781">
        <v>157.19999999999999</v>
      </c>
    </row>
    <row r="32" spans="1:4" ht="11.25" thickBot="1">
      <c r="B32" s="778">
        <v>201527.09783333336</v>
      </c>
      <c r="C32" s="777">
        <v>107742.46</v>
      </c>
      <c r="D32" s="777">
        <v>5159129.08</v>
      </c>
    </row>
    <row r="33" ht="11.25" thickTop="1"/>
  </sheetData>
  <phoneticPr fontId="0" type="noConversion"/>
  <printOptions gridLines="1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C1:T59"/>
  <sheetViews>
    <sheetView workbookViewId="0">
      <selection activeCell="B8" sqref="B8:E16"/>
    </sheetView>
  </sheetViews>
  <sheetFormatPr defaultRowHeight="10.5"/>
  <cols>
    <col min="3" max="3" width="9.83203125" bestFit="1" customWidth="1"/>
    <col min="12" max="12" width="10.33203125" bestFit="1" customWidth="1"/>
  </cols>
  <sheetData>
    <row r="1" spans="3:20">
      <c r="I1" t="s">
        <v>412</v>
      </c>
    </row>
    <row r="2" spans="3:20">
      <c r="I2" t="s">
        <v>422</v>
      </c>
    </row>
    <row r="3" spans="3:20" ht="11.25">
      <c r="H3" s="1"/>
      <c r="I3" s="1"/>
      <c r="J3" s="686"/>
      <c r="K3" s="1"/>
      <c r="L3" s="1"/>
      <c r="M3" s="1"/>
      <c r="N3" s="1" t="s">
        <v>413</v>
      </c>
      <c r="O3" s="1" t="s">
        <v>414</v>
      </c>
      <c r="P3" s="1" t="s">
        <v>415</v>
      </c>
      <c r="Q3" s="1" t="s">
        <v>416</v>
      </c>
      <c r="R3" s="1" t="s">
        <v>417</v>
      </c>
      <c r="S3" s="1" t="s">
        <v>418</v>
      </c>
    </row>
    <row r="4" spans="3:20" ht="11.25">
      <c r="H4" s="695"/>
      <c r="I4" s="696" t="s">
        <v>411</v>
      </c>
      <c r="J4" s="697"/>
      <c r="K4" s="697"/>
      <c r="L4" s="914">
        <v>1.7000000000000001E-2</v>
      </c>
      <c r="M4" s="687"/>
      <c r="N4" s="913">
        <v>5.0000000000000001E-3</v>
      </c>
      <c r="O4" s="913">
        <v>5.0000000000000001E-3</v>
      </c>
      <c r="P4" s="913">
        <v>1.2E-2</v>
      </c>
      <c r="Q4" s="913">
        <v>2E-3</v>
      </c>
      <c r="R4" s="913">
        <v>-6.0000000000000001E-3</v>
      </c>
      <c r="S4" s="913">
        <v>-1E-3</v>
      </c>
      <c r="T4">
        <f>(100*(1+N4)*(1+O4)*(1+P4)*(1+Q4)*(1+R4)*(1+S4))-100</f>
        <v>1.7026408603343128</v>
      </c>
    </row>
    <row r="5" spans="3:20" ht="11.25">
      <c r="H5" s="695"/>
      <c r="I5" s="915">
        <v>2006</v>
      </c>
      <c r="J5" s="697"/>
      <c r="K5" s="911"/>
      <c r="L5" s="914">
        <v>2.5000000000000001E-2</v>
      </c>
      <c r="M5" s="687"/>
      <c r="N5" s="699"/>
      <c r="O5" s="710"/>
      <c r="P5" s="687"/>
      <c r="Q5" s="687"/>
      <c r="R5" s="687"/>
      <c r="S5" s="687"/>
    </row>
    <row r="6" spans="3:20" ht="11.25">
      <c r="H6" s="695"/>
      <c r="I6" s="915">
        <v>2007</v>
      </c>
      <c r="J6" s="697"/>
      <c r="K6" s="911"/>
      <c r="L6" s="914">
        <v>4.1000000000000002E-2</v>
      </c>
      <c r="M6" s="687"/>
      <c r="N6" s="699"/>
      <c r="O6" s="710"/>
      <c r="P6" s="687"/>
      <c r="Q6" s="687"/>
      <c r="R6" s="687"/>
      <c r="S6" s="687"/>
    </row>
    <row r="7" spans="3:20" ht="11.25">
      <c r="H7" s="695"/>
      <c r="I7" s="915"/>
      <c r="J7" s="697"/>
      <c r="K7" s="911"/>
      <c r="L7" s="914"/>
      <c r="M7" s="687"/>
      <c r="N7" s="699" t="s">
        <v>413</v>
      </c>
      <c r="O7" s="710" t="s">
        <v>420</v>
      </c>
      <c r="P7" s="687" t="s">
        <v>421</v>
      </c>
      <c r="Q7" s="687" t="s">
        <v>414</v>
      </c>
      <c r="R7" s="687" t="s">
        <v>421</v>
      </c>
      <c r="S7" s="687" t="s">
        <v>427</v>
      </c>
    </row>
    <row r="8" spans="3:20" ht="11.25">
      <c r="H8" s="695"/>
      <c r="I8" s="915" t="s">
        <v>419</v>
      </c>
      <c r="J8" s="697"/>
      <c r="K8" s="912"/>
      <c r="L8" s="914">
        <v>2.5000000000000001E-2</v>
      </c>
      <c r="M8" s="687"/>
      <c r="N8" s="916">
        <v>4.0000000000000001E-3</v>
      </c>
      <c r="O8" s="916">
        <v>0</v>
      </c>
      <c r="P8" s="916">
        <v>3.0000000000000001E-3</v>
      </c>
      <c r="Q8" s="916">
        <v>2E-3</v>
      </c>
      <c r="R8" s="916">
        <v>6.0000000000000001E-3</v>
      </c>
      <c r="S8" s="913">
        <v>0.01</v>
      </c>
      <c r="T8">
        <f>(100*(1+N8)*(1+O8)*(1+P8)*(1+Q8)*(1+R8)*(1+S8))-100</f>
        <v>2.523098194544005</v>
      </c>
    </row>
    <row r="9" spans="3:20" ht="11.25">
      <c r="H9" s="695"/>
      <c r="I9" s="696"/>
      <c r="J9" s="697"/>
      <c r="K9" s="911"/>
      <c r="L9" s="914">
        <f>((100*(1+L4)*(1+L5)*(1+L6)*(1+L8))-100)/100</f>
        <v>0.11229353562499952</v>
      </c>
      <c r="M9" s="687"/>
      <c r="N9" s="699"/>
      <c r="O9" s="710"/>
      <c r="P9" s="687"/>
      <c r="Q9" s="687"/>
      <c r="R9" s="687"/>
      <c r="S9" s="687"/>
    </row>
    <row r="10" spans="3:20" ht="11.25">
      <c r="H10" s="695"/>
      <c r="I10" s="696"/>
      <c r="J10" s="697"/>
      <c r="K10" s="911"/>
      <c r="L10" s="914"/>
      <c r="M10" s="687"/>
      <c r="N10" s="699"/>
      <c r="O10" s="710"/>
      <c r="P10" s="687"/>
      <c r="Q10" s="687"/>
      <c r="R10" s="687"/>
      <c r="S10" s="687"/>
    </row>
    <row r="11" spans="3:20" ht="11.25">
      <c r="H11" s="695"/>
      <c r="I11" s="696"/>
      <c r="J11" s="697"/>
      <c r="K11" s="911"/>
      <c r="L11" s="914"/>
      <c r="M11" s="687"/>
      <c r="N11" s="699"/>
      <c r="O11" s="710"/>
      <c r="P11" s="687"/>
      <c r="Q11" s="687"/>
      <c r="R11" s="687"/>
      <c r="S11" s="687"/>
    </row>
    <row r="12" spans="3:20" ht="11.25">
      <c r="H12" s="695"/>
      <c r="I12" s="917" t="s">
        <v>425</v>
      </c>
      <c r="J12" s="697"/>
      <c r="K12" s="911"/>
      <c r="L12" s="914"/>
      <c r="M12" s="687"/>
      <c r="N12" s="699"/>
      <c r="O12" s="710"/>
      <c r="P12" s="687"/>
      <c r="Q12" s="687"/>
      <c r="R12" s="687"/>
      <c r="S12" s="687"/>
    </row>
    <row r="13" spans="3:20" ht="11.25">
      <c r="E13" s="789"/>
      <c r="H13" s="695"/>
      <c r="I13" s="918" t="s">
        <v>429</v>
      </c>
      <c r="J13" s="697"/>
      <c r="K13" s="697"/>
      <c r="L13" s="705"/>
      <c r="M13" s="687"/>
      <c r="N13" s="699"/>
      <c r="O13" s="710"/>
      <c r="P13" s="687"/>
      <c r="Q13" s="687"/>
      <c r="R13" s="687"/>
      <c r="S13" s="687"/>
    </row>
    <row r="14" spans="3:20" ht="11.25">
      <c r="C14" s="786"/>
      <c r="D14" s="787"/>
      <c r="E14" s="788"/>
      <c r="H14" s="695"/>
      <c r="J14" s="782"/>
      <c r="K14" s="697"/>
      <c r="L14" s="705"/>
      <c r="M14" s="782"/>
      <c r="N14" s="1" t="s">
        <v>423</v>
      </c>
      <c r="O14" s="1" t="s">
        <v>424</v>
      </c>
      <c r="P14" s="1"/>
      <c r="Q14" s="1"/>
      <c r="R14" s="1"/>
      <c r="S14" s="1"/>
    </row>
    <row r="15" spans="3:20" ht="11.25">
      <c r="C15" s="786"/>
      <c r="D15" s="787"/>
      <c r="E15" s="788"/>
      <c r="H15" s="695"/>
      <c r="I15" s="696" t="s">
        <v>411</v>
      </c>
      <c r="J15" s="697"/>
      <c r="K15" s="697"/>
      <c r="L15" s="914">
        <v>1.6063999999999998E-2</v>
      </c>
      <c r="M15" s="782"/>
      <c r="N15" s="913">
        <v>8.0000000000000002E-3</v>
      </c>
      <c r="O15" s="913">
        <v>8.0000000000000002E-3</v>
      </c>
      <c r="P15" s="913"/>
      <c r="Q15" s="913"/>
      <c r="R15" s="913"/>
      <c r="S15" s="913"/>
      <c r="T15">
        <f>100*(1+N15)*(1+O15)-100</f>
        <v>1.6063999999999936</v>
      </c>
    </row>
    <row r="16" spans="3:20" ht="11.25">
      <c r="C16" s="786"/>
      <c r="D16" s="787"/>
      <c r="E16" s="788"/>
      <c r="H16" s="695"/>
      <c r="I16" s="915">
        <v>2006</v>
      </c>
      <c r="J16" s="697"/>
      <c r="K16" s="707"/>
      <c r="L16" s="914">
        <v>3.2000000000000001E-2</v>
      </c>
      <c r="M16" s="697"/>
      <c r="N16" s="699"/>
      <c r="O16" s="710"/>
      <c r="P16" s="687"/>
      <c r="Q16" s="687"/>
      <c r="R16" s="687"/>
      <c r="S16" s="687"/>
    </row>
    <row r="17" spans="4:20" ht="11.25">
      <c r="I17" s="915">
        <v>2007</v>
      </c>
      <c r="J17" s="697"/>
      <c r="L17" s="914">
        <v>3.3000000000000002E-2</v>
      </c>
      <c r="N17" s="699"/>
      <c r="O17" s="710"/>
      <c r="P17" s="687"/>
      <c r="Q17" s="687"/>
      <c r="R17" s="687"/>
      <c r="S17" s="687"/>
    </row>
    <row r="18" spans="4:20" ht="11.25">
      <c r="I18" s="915"/>
      <c r="J18" s="697"/>
      <c r="L18" s="914"/>
      <c r="N18" s="699" t="s">
        <v>426</v>
      </c>
      <c r="O18" s="710" t="s">
        <v>428</v>
      </c>
      <c r="P18" s="687"/>
      <c r="Q18" s="687"/>
      <c r="R18" s="687"/>
      <c r="S18" s="687"/>
    </row>
    <row r="19" spans="4:20" ht="11.25">
      <c r="I19" s="915" t="s">
        <v>419</v>
      </c>
      <c r="J19" s="697"/>
      <c r="L19" s="914">
        <v>2.3120000000000002E-2</v>
      </c>
      <c r="N19" s="913">
        <v>8.0000000000000002E-3</v>
      </c>
      <c r="O19" s="913">
        <v>1.4999999999999999E-2</v>
      </c>
      <c r="P19" s="916"/>
      <c r="Q19" s="916"/>
      <c r="R19" s="916"/>
      <c r="S19" s="913"/>
      <c r="T19">
        <f>100*(1+N19)*(1+O19)-100</f>
        <v>2.3119999999999834</v>
      </c>
    </row>
    <row r="20" spans="4:20" ht="11.25">
      <c r="L20" s="914">
        <f>((100*(1+L15)*(1+L16)*(1+L17)*(1+L19))-100)/100</f>
        <v>0.10822427116126207</v>
      </c>
    </row>
    <row r="27" spans="4:20">
      <c r="D27" t="s">
        <v>390</v>
      </c>
    </row>
    <row r="29" spans="4:20">
      <c r="D29" t="s">
        <v>360</v>
      </c>
    </row>
    <row r="30" spans="4:20">
      <c r="D30" t="s">
        <v>361</v>
      </c>
    </row>
    <row r="31" spans="4:20">
      <c r="D31" t="s">
        <v>362</v>
      </c>
    </row>
    <row r="32" spans="4:20">
      <c r="D32" t="s">
        <v>363</v>
      </c>
    </row>
    <row r="33" spans="4:4">
      <c r="D33" t="s">
        <v>364</v>
      </c>
    </row>
    <row r="34" spans="4:4">
      <c r="D34" t="s">
        <v>365</v>
      </c>
    </row>
    <row r="35" spans="4:4">
      <c r="D35" t="s">
        <v>366</v>
      </c>
    </row>
    <row r="36" spans="4:4">
      <c r="D36" t="s">
        <v>367</v>
      </c>
    </row>
    <row r="37" spans="4:4">
      <c r="D37" t="s">
        <v>368</v>
      </c>
    </row>
    <row r="38" spans="4:4">
      <c r="D38" t="s">
        <v>369</v>
      </c>
    </row>
    <row r="39" spans="4:4">
      <c r="D39" t="s">
        <v>370</v>
      </c>
    </row>
    <row r="40" spans="4:4">
      <c r="D40" t="s">
        <v>371</v>
      </c>
    </row>
    <row r="41" spans="4:4">
      <c r="D41" t="s">
        <v>372</v>
      </c>
    </row>
    <row r="42" spans="4:4">
      <c r="D42" t="s">
        <v>373</v>
      </c>
    </row>
    <row r="43" spans="4:4">
      <c r="D43" t="s">
        <v>374</v>
      </c>
    </row>
    <row r="44" spans="4:4">
      <c r="D44" t="s">
        <v>375</v>
      </c>
    </row>
    <row r="45" spans="4:4">
      <c r="D45" t="s">
        <v>376</v>
      </c>
    </row>
    <row r="46" spans="4:4">
      <c r="D46" t="s">
        <v>377</v>
      </c>
    </row>
    <row r="47" spans="4:4">
      <c r="D47" t="s">
        <v>378</v>
      </c>
    </row>
    <row r="48" spans="4:4">
      <c r="D48" t="s">
        <v>379</v>
      </c>
    </row>
    <row r="49" spans="4:4">
      <c r="D49" t="s">
        <v>380</v>
      </c>
    </row>
    <row r="50" spans="4:4">
      <c r="D50" t="s">
        <v>381</v>
      </c>
    </row>
    <row r="51" spans="4:4">
      <c r="D51" t="s">
        <v>380</v>
      </c>
    </row>
    <row r="52" spans="4:4">
      <c r="D52" t="s">
        <v>382</v>
      </c>
    </row>
    <row r="53" spans="4:4">
      <c r="D53" t="s">
        <v>383</v>
      </c>
    </row>
    <row r="54" spans="4:4">
      <c r="D54" t="s">
        <v>384</v>
      </c>
    </row>
    <row r="55" spans="4:4">
      <c r="D55" t="s">
        <v>385</v>
      </c>
    </row>
    <row r="56" spans="4:4">
      <c r="D56" t="s">
        <v>386</v>
      </c>
    </row>
    <row r="57" spans="4:4">
      <c r="D57" t="s">
        <v>387</v>
      </c>
    </row>
    <row r="58" spans="4:4">
      <c r="D58" t="s">
        <v>388</v>
      </c>
    </row>
    <row r="59" spans="4:4">
      <c r="D59" t="s">
        <v>389</v>
      </c>
    </row>
  </sheetData>
  <phoneticPr fontId="0" type="noConversion"/>
  <hyperlinks>
    <hyperlink ref="I13" r:id="rId1"/>
  </hyperlinks>
  <printOptions gridLines="1"/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exhibit 1</vt:lpstr>
      <vt:lpstr>Summary</vt:lpstr>
      <vt:lpstr>Misc</vt:lpstr>
      <vt:lpstr>\average</vt:lpstr>
      <vt:lpstr>criteria2</vt:lpstr>
      <vt:lpstr>database1</vt:lpstr>
      <vt:lpstr>'exhibit 1'!Print_Area</vt:lpstr>
      <vt:lpstr>Print_Area</vt:lpstr>
      <vt:lpstr>'exhibit 1'!Print_Area_MI</vt:lpstr>
      <vt:lpstr>PRINT_AREA_MI</vt:lpstr>
      <vt:lpstr>'exhibit 1'!Print_Titles</vt:lpstr>
      <vt:lpstr>range1</vt:lpstr>
      <vt:lpstr>Type1</vt:lpstr>
      <vt:lpstr>Type2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End-User Support</dc:creator>
  <cp:lastModifiedBy>JUMBERGE</cp:lastModifiedBy>
  <cp:lastPrinted>2012-03-28T17:55:19Z</cp:lastPrinted>
  <dcterms:created xsi:type="dcterms:W3CDTF">2005-08-01T16:53:24Z</dcterms:created>
  <dcterms:modified xsi:type="dcterms:W3CDTF">2012-03-29T13:25:39Z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-1949239056</vt:i4>
  </property>
  <property fmtid="{D5CDD505-2E9C-101B-9397-08002B2CF9AE}" pid="3" name="_EmailSubject">
    <vt:lpwstr>Replacement Rule ICR</vt:lpwstr>
  </property>
  <property fmtid="{D5CDD505-2E9C-101B-9397-08002B2CF9AE}" pid="4" name="_AuthorEmail">
    <vt:lpwstr>bspringsteen@eergc.com</vt:lpwstr>
  </property>
  <property fmtid="{D5CDD505-2E9C-101B-9397-08002B2CF9AE}" pid="5" name="_AuthorEmailDisplayName">
    <vt:lpwstr>Bruce Springsteen</vt:lpwstr>
  </property>
  <property fmtid="{D5CDD505-2E9C-101B-9397-08002B2CF9AE}" pid="6" name="_ReviewingToolsShownOnce">
    <vt:lpwstr/>
  </property>
</Properties>
</file>