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1340" windowHeight="6030" firstSheet="1" activeTab="4"/>
  </bookViews>
  <sheets>
    <sheet name="Burden Table Inputs" sheetId="3" r:id="rId1"/>
    <sheet name="Year 1 Resp" sheetId="4" r:id="rId2"/>
    <sheet name="Year 2 Resp" sheetId="12" r:id="rId3"/>
    <sheet name="Year 3 Resp" sheetId="13" r:id="rId4"/>
    <sheet name="3-yr Average Resp" sheetId="8" r:id="rId5"/>
    <sheet name="Year 1 Agency" sheetId="2" r:id="rId6"/>
    <sheet name="Year 2 Agency" sheetId="14" r:id="rId7"/>
    <sheet name="Year 3 Agency" sheetId="15" r:id="rId8"/>
    <sheet name="3-yr Average Agency" sheetId="16" r:id="rId9"/>
    <sheet name="ROCIS Inputs" sheetId="6" r:id="rId10"/>
    <sheet name="Sheet1" sheetId="9" r:id="rId11"/>
  </sheets>
  <definedNames>
    <definedName name="_xlnm.Print_Area" localSheetId="5">'Year 1 Agency'!$A$1:$I$21</definedName>
    <definedName name="_xlnm.Print_Area" localSheetId="1">'Year 1 Resp'!$A$1:$M$66</definedName>
    <definedName name="_xlnm.Print_Area" localSheetId="6">'Year 2 Agency'!$A$1:$I$21</definedName>
    <definedName name="_xlnm.Print_Area" localSheetId="2">'Year 2 Resp'!$A$1:$M$66</definedName>
    <definedName name="_xlnm.Print_Area" localSheetId="7">'Year 3 Agency'!$A$1:$I$21</definedName>
    <definedName name="_xlnm.Print_Area" localSheetId="3">'Year 3 Resp'!$A$1:$M$66</definedName>
    <definedName name="_xlnm.Print_Titles" localSheetId="1">'Year 1 Resp'!$3:$5</definedName>
    <definedName name="_xlnm.Print_Titles" localSheetId="2">'Year 2 Resp'!$3:$5</definedName>
    <definedName name="_xlnm.Print_Titles" localSheetId="3">'Year 3 Resp'!$3:$5</definedName>
  </definedNames>
  <calcPr calcId="125725" fullCalcOnLoad="1"/>
</workbook>
</file>

<file path=xl/calcChain.xml><?xml version="1.0" encoding="utf-8"?>
<calcChain xmlns="http://schemas.openxmlformats.org/spreadsheetml/2006/main">
  <c r="D22" i="13"/>
  <c r="D22" i="12"/>
  <c r="L22" s="1"/>
  <c r="F18" i="6"/>
  <c r="F19"/>
  <c r="F21" s="1"/>
  <c r="D19"/>
  <c r="B19"/>
  <c r="B18"/>
  <c r="E14"/>
  <c r="B25" s="1"/>
  <c r="C11" i="13"/>
  <c r="L11" s="1"/>
  <c r="L42" s="1"/>
  <c r="L52" s="1"/>
  <c r="C11" i="12"/>
  <c r="D26" i="4"/>
  <c r="D25"/>
  <c r="K17" i="13"/>
  <c r="K16"/>
  <c r="K17" i="12"/>
  <c r="K16"/>
  <c r="M14"/>
  <c r="D11" i="15"/>
  <c r="F11"/>
  <c r="D11" i="14"/>
  <c r="F11"/>
  <c r="D11" i="2"/>
  <c r="F11"/>
  <c r="H28" i="12"/>
  <c r="L28"/>
  <c r="D20" i="13"/>
  <c r="D19"/>
  <c r="D20" i="12"/>
  <c r="D19"/>
  <c r="D23" i="13"/>
  <c r="D23" i="12"/>
  <c r="D26" i="13"/>
  <c r="D25"/>
  <c r="D26" i="12"/>
  <c r="D25"/>
  <c r="L25" s="1"/>
  <c r="D10" i="15"/>
  <c r="F10"/>
  <c r="D9"/>
  <c r="F9"/>
  <c r="D8"/>
  <c r="D7"/>
  <c r="D10" i="14"/>
  <c r="F10"/>
  <c r="D9"/>
  <c r="F9"/>
  <c r="D8"/>
  <c r="D7"/>
  <c r="B33" i="3"/>
  <c r="B32"/>
  <c r="B31"/>
  <c r="G51" i="13"/>
  <c r="G42"/>
  <c r="G52"/>
  <c r="E42"/>
  <c r="G51" i="12"/>
  <c r="G42"/>
  <c r="G52"/>
  <c r="E42"/>
  <c r="G42" i="4"/>
  <c r="G52"/>
  <c r="E42"/>
  <c r="G51"/>
  <c r="M51" i="13"/>
  <c r="L50"/>
  <c r="J50"/>
  <c r="I50"/>
  <c r="L49"/>
  <c r="I49"/>
  <c r="F49"/>
  <c r="H49"/>
  <c r="I48"/>
  <c r="I51"/>
  <c r="E48"/>
  <c r="L48"/>
  <c r="L51"/>
  <c r="L46"/>
  <c r="L45"/>
  <c r="L44"/>
  <c r="M41"/>
  <c r="L41"/>
  <c r="I41"/>
  <c r="F41"/>
  <c r="H41"/>
  <c r="M40"/>
  <c r="L40"/>
  <c r="I40"/>
  <c r="F40"/>
  <c r="H40"/>
  <c r="M39"/>
  <c r="L39"/>
  <c r="I39"/>
  <c r="F39"/>
  <c r="H39"/>
  <c r="M38"/>
  <c r="L38"/>
  <c r="I38"/>
  <c r="H38"/>
  <c r="F38"/>
  <c r="M37"/>
  <c r="L37"/>
  <c r="I37"/>
  <c r="F37"/>
  <c r="H37"/>
  <c r="M36"/>
  <c r="L36"/>
  <c r="I36"/>
  <c r="F36"/>
  <c r="H36"/>
  <c r="M35"/>
  <c r="L35"/>
  <c r="I35"/>
  <c r="F35"/>
  <c r="H35"/>
  <c r="M34"/>
  <c r="L34"/>
  <c r="I34"/>
  <c r="H34"/>
  <c r="F34"/>
  <c r="L32"/>
  <c r="L31"/>
  <c r="L30"/>
  <c r="L29"/>
  <c r="I29"/>
  <c r="F29"/>
  <c r="H29"/>
  <c r="L28"/>
  <c r="I28"/>
  <c r="H28"/>
  <c r="L26"/>
  <c r="I26"/>
  <c r="F26"/>
  <c r="H26"/>
  <c r="L25"/>
  <c r="I25"/>
  <c r="H25"/>
  <c r="L23"/>
  <c r="I23"/>
  <c r="F23"/>
  <c r="H23"/>
  <c r="L22"/>
  <c r="I22"/>
  <c r="H22"/>
  <c r="L20"/>
  <c r="I20"/>
  <c r="F20"/>
  <c r="H20"/>
  <c r="L19"/>
  <c r="J55" s="1"/>
  <c r="I19"/>
  <c r="H19"/>
  <c r="L17"/>
  <c r="I17"/>
  <c r="F17"/>
  <c r="H17"/>
  <c r="L16"/>
  <c r="I16"/>
  <c r="F16"/>
  <c r="H16"/>
  <c r="L15"/>
  <c r="I15"/>
  <c r="F15"/>
  <c r="H15"/>
  <c r="M14"/>
  <c r="L14"/>
  <c r="I14"/>
  <c r="F14"/>
  <c r="H14"/>
  <c r="M13"/>
  <c r="L13"/>
  <c r="I13"/>
  <c r="F13"/>
  <c r="H13"/>
  <c r="M12"/>
  <c r="L12"/>
  <c r="I12"/>
  <c r="F12"/>
  <c r="H12"/>
  <c r="M11"/>
  <c r="M42"/>
  <c r="M52"/>
  <c r="I11"/>
  <c r="I42"/>
  <c r="F11"/>
  <c r="H11"/>
  <c r="L9"/>
  <c r="I9"/>
  <c r="F9"/>
  <c r="H9"/>
  <c r="M51" i="12"/>
  <c r="L50"/>
  <c r="J50"/>
  <c r="I50"/>
  <c r="L49"/>
  <c r="I49"/>
  <c r="F49"/>
  <c r="H49"/>
  <c r="I48"/>
  <c r="I51"/>
  <c r="E48"/>
  <c r="E51"/>
  <c r="L46"/>
  <c r="L45"/>
  <c r="L44"/>
  <c r="M41"/>
  <c r="L41"/>
  <c r="I41"/>
  <c r="F41"/>
  <c r="H41"/>
  <c r="M40"/>
  <c r="L40"/>
  <c r="I40"/>
  <c r="H40"/>
  <c r="F40"/>
  <c r="M39"/>
  <c r="L39"/>
  <c r="I39"/>
  <c r="F39"/>
  <c r="H39"/>
  <c r="M38"/>
  <c r="L38"/>
  <c r="I38"/>
  <c r="F38"/>
  <c r="H38"/>
  <c r="M37"/>
  <c r="L37"/>
  <c r="I37"/>
  <c r="F37"/>
  <c r="H37"/>
  <c r="M36"/>
  <c r="L36"/>
  <c r="I36"/>
  <c r="H36"/>
  <c r="F36"/>
  <c r="M35"/>
  <c r="L35"/>
  <c r="I35"/>
  <c r="F35"/>
  <c r="H35"/>
  <c r="M34"/>
  <c r="L34"/>
  <c r="I34"/>
  <c r="F34"/>
  <c r="H34"/>
  <c r="L32"/>
  <c r="L31"/>
  <c r="L30"/>
  <c r="L29"/>
  <c r="I29"/>
  <c r="F29"/>
  <c r="H29"/>
  <c r="I28"/>
  <c r="F28"/>
  <c r="L26"/>
  <c r="I26"/>
  <c r="F26"/>
  <c r="H26"/>
  <c r="J26"/>
  <c r="I25"/>
  <c r="F25"/>
  <c r="H25"/>
  <c r="J25"/>
  <c r="L23"/>
  <c r="I23"/>
  <c r="F23"/>
  <c r="H23"/>
  <c r="I22"/>
  <c r="H22"/>
  <c r="F22"/>
  <c r="L20"/>
  <c r="I20"/>
  <c r="F20"/>
  <c r="H20"/>
  <c r="L19"/>
  <c r="L42" s="1"/>
  <c r="L52" s="1"/>
  <c r="I19"/>
  <c r="H19"/>
  <c r="F19"/>
  <c r="L17"/>
  <c r="I17"/>
  <c r="F17"/>
  <c r="H17"/>
  <c r="L16"/>
  <c r="I16"/>
  <c r="F16"/>
  <c r="H16"/>
  <c r="L15"/>
  <c r="I15"/>
  <c r="F15"/>
  <c r="H15"/>
  <c r="L14"/>
  <c r="I14"/>
  <c r="F14"/>
  <c r="H14"/>
  <c r="M13"/>
  <c r="L13"/>
  <c r="I13"/>
  <c r="H13"/>
  <c r="F13"/>
  <c r="M12"/>
  <c r="L12"/>
  <c r="I12"/>
  <c r="F12"/>
  <c r="H12"/>
  <c r="M11"/>
  <c r="M42"/>
  <c r="M52"/>
  <c r="L11"/>
  <c r="I11"/>
  <c r="F11"/>
  <c r="H11"/>
  <c r="L9"/>
  <c r="I9"/>
  <c r="I42"/>
  <c r="I52"/>
  <c r="D5" i="8"/>
  <c r="F9" i="12"/>
  <c r="F42"/>
  <c r="L41" i="4"/>
  <c r="L40"/>
  <c r="L39"/>
  <c r="L38"/>
  <c r="L37"/>
  <c r="L36"/>
  <c r="L35"/>
  <c r="L34"/>
  <c r="M41"/>
  <c r="M40"/>
  <c r="M39"/>
  <c r="M38"/>
  <c r="M37"/>
  <c r="M36"/>
  <c r="M35"/>
  <c r="M34"/>
  <c r="M29"/>
  <c r="M28"/>
  <c r="M26"/>
  <c r="M25"/>
  <c r="M23"/>
  <c r="M22"/>
  <c r="M20"/>
  <c r="M19"/>
  <c r="M17"/>
  <c r="M16"/>
  <c r="M15"/>
  <c r="M14"/>
  <c r="M13"/>
  <c r="M12"/>
  <c r="M11"/>
  <c r="M9"/>
  <c r="L32"/>
  <c r="L31"/>
  <c r="L30"/>
  <c r="L29"/>
  <c r="L28"/>
  <c r="L26"/>
  <c r="L25"/>
  <c r="L23"/>
  <c r="L22"/>
  <c r="L20"/>
  <c r="L19"/>
  <c r="L17"/>
  <c r="L16"/>
  <c r="L15"/>
  <c r="L14"/>
  <c r="L13"/>
  <c r="L12"/>
  <c r="L11"/>
  <c r="L9"/>
  <c r="E48"/>
  <c r="F48"/>
  <c r="M51"/>
  <c r="I41"/>
  <c r="F41"/>
  <c r="H41"/>
  <c r="J41"/>
  <c r="K41"/>
  <c r="I49"/>
  <c r="F49"/>
  <c r="H49"/>
  <c r="F40"/>
  <c r="F39"/>
  <c r="H39"/>
  <c r="F38"/>
  <c r="H38"/>
  <c r="I40"/>
  <c r="H40"/>
  <c r="J40"/>
  <c r="I39"/>
  <c r="I38"/>
  <c r="I37"/>
  <c r="F37"/>
  <c r="H37"/>
  <c r="L50"/>
  <c r="L49"/>
  <c r="L46"/>
  <c r="L45"/>
  <c r="L44"/>
  <c r="J50"/>
  <c r="I50"/>
  <c r="I36"/>
  <c r="I35"/>
  <c r="I34"/>
  <c r="I29"/>
  <c r="I28"/>
  <c r="I42"/>
  <c r="I52"/>
  <c r="D4" i="8"/>
  <c r="I26" i="4"/>
  <c r="I25"/>
  <c r="I23"/>
  <c r="I22"/>
  <c r="I20"/>
  <c r="I19"/>
  <c r="I17"/>
  <c r="I16"/>
  <c r="I15"/>
  <c r="I14"/>
  <c r="I13"/>
  <c r="I12"/>
  <c r="F36"/>
  <c r="H36"/>
  <c r="F35"/>
  <c r="H35"/>
  <c r="F34"/>
  <c r="H34"/>
  <c r="F29"/>
  <c r="H29"/>
  <c r="J29"/>
  <c r="F28"/>
  <c r="H28"/>
  <c r="K28"/>
  <c r="F26"/>
  <c r="H26"/>
  <c r="F25"/>
  <c r="H25"/>
  <c r="J25"/>
  <c r="F23"/>
  <c r="H23"/>
  <c r="J23"/>
  <c r="K23"/>
  <c r="F22"/>
  <c r="H22"/>
  <c r="F20"/>
  <c r="H20"/>
  <c r="F19"/>
  <c r="H19"/>
  <c r="J19"/>
  <c r="K19"/>
  <c r="F17"/>
  <c r="H17"/>
  <c r="F16"/>
  <c r="H16"/>
  <c r="J16"/>
  <c r="F15"/>
  <c r="H15"/>
  <c r="J15"/>
  <c r="F14"/>
  <c r="H14"/>
  <c r="F13"/>
  <c r="H13"/>
  <c r="J13"/>
  <c r="F12"/>
  <c r="H12"/>
  <c r="J12"/>
  <c r="F11"/>
  <c r="H11"/>
  <c r="J11"/>
  <c r="F9"/>
  <c r="H9"/>
  <c r="C4" i="9"/>
  <c r="C9"/>
  <c r="B4"/>
  <c r="B9"/>
  <c r="C8"/>
  <c r="B8"/>
  <c r="C6" i="3"/>
  <c r="B9" i="6"/>
  <c r="C4" i="3"/>
  <c r="I11" i="4"/>
  <c r="C7" i="3"/>
  <c r="B10" i="6"/>
  <c r="I9" i="4"/>
  <c r="C12" i="3"/>
  <c r="B19"/>
  <c r="C19"/>
  <c r="B18"/>
  <c r="B17"/>
  <c r="C17"/>
  <c r="C21"/>
  <c r="B15"/>
  <c r="C15"/>
  <c r="C5"/>
  <c r="B11"/>
  <c r="B10"/>
  <c r="C10"/>
  <c r="B9"/>
  <c r="C9"/>
  <c r="D7" i="2"/>
  <c r="D8"/>
  <c r="D9"/>
  <c r="F9"/>
  <c r="C11" i="3"/>
  <c r="D10" i="2"/>
  <c r="F10"/>
  <c r="C18" i="3"/>
  <c r="L48" i="4"/>
  <c r="L51"/>
  <c r="I48"/>
  <c r="M42"/>
  <c r="M52"/>
  <c r="F42"/>
  <c r="K50"/>
  <c r="E51"/>
  <c r="E52"/>
  <c r="J19" i="13"/>
  <c r="J25"/>
  <c r="J35"/>
  <c r="J36"/>
  <c r="J37"/>
  <c r="J17"/>
  <c r="J23"/>
  <c r="J29"/>
  <c r="J39"/>
  <c r="J40"/>
  <c r="J41"/>
  <c r="J11"/>
  <c r="J12"/>
  <c r="J13"/>
  <c r="J16"/>
  <c r="J22"/>
  <c r="J28"/>
  <c r="J9"/>
  <c r="I52"/>
  <c r="D6" i="8"/>
  <c r="D7" s="1"/>
  <c r="J15" i="13"/>
  <c r="J20"/>
  <c r="J14"/>
  <c r="J34"/>
  <c r="F48"/>
  <c r="F51"/>
  <c r="H48"/>
  <c r="J38"/>
  <c r="J49"/>
  <c r="J28" i="12"/>
  <c r="J34"/>
  <c r="J35"/>
  <c r="J49"/>
  <c r="J37"/>
  <c r="J38"/>
  <c r="J39"/>
  <c r="J14"/>
  <c r="J15"/>
  <c r="J17"/>
  <c r="J20"/>
  <c r="J23"/>
  <c r="J29"/>
  <c r="J41"/>
  <c r="J12"/>
  <c r="J36"/>
  <c r="J40"/>
  <c r="K13" i="4"/>
  <c r="J55"/>
  <c r="K25"/>
  <c r="I51"/>
  <c r="H42"/>
  <c r="J9"/>
  <c r="K9"/>
  <c r="K12"/>
  <c r="J38"/>
  <c r="K38"/>
  <c r="J22"/>
  <c r="K22"/>
  <c r="J39"/>
  <c r="K39"/>
  <c r="J36"/>
  <c r="K36"/>
  <c r="J14"/>
  <c r="K14"/>
  <c r="J28"/>
  <c r="J49"/>
  <c r="K49"/>
  <c r="L42"/>
  <c r="L52"/>
  <c r="K29"/>
  <c r="K15"/>
  <c r="J20"/>
  <c r="K20"/>
  <c r="K16"/>
  <c r="J17"/>
  <c r="K17"/>
  <c r="K40"/>
  <c r="H51" i="13"/>
  <c r="J48"/>
  <c r="J51"/>
  <c r="H9" i="15"/>
  <c r="G9"/>
  <c r="I9"/>
  <c r="G10"/>
  <c r="H10"/>
  <c r="I10"/>
  <c r="H9" i="14"/>
  <c r="G9"/>
  <c r="I9"/>
  <c r="G10"/>
  <c r="H10"/>
  <c r="I10"/>
  <c r="G10" i="2"/>
  <c r="I10"/>
  <c r="H10"/>
  <c r="G9"/>
  <c r="I9"/>
  <c r="H9"/>
  <c r="G11" i="15"/>
  <c r="H11"/>
  <c r="G11" i="14"/>
  <c r="I11"/>
  <c r="H11"/>
  <c r="G11" i="2"/>
  <c r="H11"/>
  <c r="H42" i="13"/>
  <c r="H52"/>
  <c r="B6" i="8"/>
  <c r="J26" i="13"/>
  <c r="J42"/>
  <c r="J52"/>
  <c r="C6" i="8"/>
  <c r="H54" i="13"/>
  <c r="E6" i="8"/>
  <c r="K11" i="4"/>
  <c r="J26"/>
  <c r="J42"/>
  <c r="J34"/>
  <c r="K34"/>
  <c r="H48"/>
  <c r="F51"/>
  <c r="D8" i="8"/>
  <c r="G19" i="6"/>
  <c r="E8" i="15"/>
  <c r="F8" s="1"/>
  <c r="E8" i="14"/>
  <c r="E8" i="2"/>
  <c r="F8"/>
  <c r="H8" s="1"/>
  <c r="C13" i="3"/>
  <c r="K35" i="4"/>
  <c r="J35"/>
  <c r="K37"/>
  <c r="J37"/>
  <c r="K11" i="12"/>
  <c r="J11"/>
  <c r="E7" i="15"/>
  <c r="F7" s="1"/>
  <c r="E7" i="2"/>
  <c r="F7" s="1"/>
  <c r="E7" i="14"/>
  <c r="F7" s="1"/>
  <c r="H9" i="12"/>
  <c r="K13"/>
  <c r="J13"/>
  <c r="J19"/>
  <c r="K19"/>
  <c r="K20"/>
  <c r="K22"/>
  <c r="J22"/>
  <c r="K23"/>
  <c r="K25"/>
  <c r="K26"/>
  <c r="K28"/>
  <c r="K29"/>
  <c r="K38"/>
  <c r="K39"/>
  <c r="K40"/>
  <c r="K41"/>
  <c r="K49"/>
  <c r="K12" i="13"/>
  <c r="K19"/>
  <c r="K20"/>
  <c r="K22"/>
  <c r="K23"/>
  <c r="K25"/>
  <c r="K26"/>
  <c r="K28"/>
  <c r="K29"/>
  <c r="K34"/>
  <c r="K35"/>
  <c r="K40"/>
  <c r="K41"/>
  <c r="K49"/>
  <c r="K48"/>
  <c r="K51" s="1"/>
  <c r="K12" i="12"/>
  <c r="K14"/>
  <c r="K15"/>
  <c r="J16"/>
  <c r="K34"/>
  <c r="K35"/>
  <c r="K36"/>
  <c r="K37"/>
  <c r="K9" i="13"/>
  <c r="K11"/>
  <c r="K13"/>
  <c r="K14"/>
  <c r="K15"/>
  <c r="K36"/>
  <c r="K37"/>
  <c r="K38"/>
  <c r="K39"/>
  <c r="E52" i="12"/>
  <c r="F8" i="14"/>
  <c r="G8" s="1"/>
  <c r="I8" s="1"/>
  <c r="L48" i="12"/>
  <c r="L51"/>
  <c r="F42" i="13"/>
  <c r="F52"/>
  <c r="E51"/>
  <c r="E52"/>
  <c r="F48" i="12"/>
  <c r="I11" i="2"/>
  <c r="I11" i="15"/>
  <c r="K26" i="4"/>
  <c r="G8" i="2"/>
  <c r="K42" i="4"/>
  <c r="K52" s="1"/>
  <c r="I54" s="1"/>
  <c r="H8" i="14"/>
  <c r="H51" i="4"/>
  <c r="H52"/>
  <c r="J48"/>
  <c r="J51"/>
  <c r="J52"/>
  <c r="C4" i="8"/>
  <c r="C8" s="1"/>
  <c r="F51" i="12"/>
  <c r="F52"/>
  <c r="H48"/>
  <c r="K42" i="13"/>
  <c r="K52" s="1"/>
  <c r="I54" s="1"/>
  <c r="K9" i="12"/>
  <c r="K42"/>
  <c r="K52" s="1"/>
  <c r="I54" s="1"/>
  <c r="J9"/>
  <c r="J42"/>
  <c r="H42"/>
  <c r="F52" i="4"/>
  <c r="K48"/>
  <c r="K51"/>
  <c r="B4" i="8"/>
  <c r="H54" i="4"/>
  <c r="E4" i="8"/>
  <c r="B21" i="6"/>
  <c r="C18" s="1"/>
  <c r="H51" i="12"/>
  <c r="H52"/>
  <c r="J48"/>
  <c r="J51"/>
  <c r="J52"/>
  <c r="C5" i="8"/>
  <c r="C7"/>
  <c r="B5"/>
  <c r="B7"/>
  <c r="H54" i="12"/>
  <c r="E5" i="8"/>
  <c r="E8" s="1"/>
  <c r="E7"/>
  <c r="K48" i="12"/>
  <c r="K51"/>
  <c r="B8" i="8"/>
  <c r="C19" i="6"/>
  <c r="D21"/>
  <c r="J56" i="4"/>
  <c r="J54"/>
  <c r="G4" i="8"/>
  <c r="E19" i="6" l="1"/>
  <c r="E18"/>
  <c r="F4" i="8"/>
  <c r="K54" i="4"/>
  <c r="H4" i="8" s="1"/>
  <c r="F12" i="14"/>
  <c r="G7"/>
  <c r="G12" s="1"/>
  <c r="D5" i="16" s="1"/>
  <c r="I7" i="14"/>
  <c r="I12" s="1"/>
  <c r="F5" i="16" s="1"/>
  <c r="H7" i="14"/>
  <c r="H12" s="1"/>
  <c r="C5" i="16" s="1"/>
  <c r="G7" i="15"/>
  <c r="H7"/>
  <c r="I7"/>
  <c r="F12"/>
  <c r="J56" i="13"/>
  <c r="J54"/>
  <c r="G6" i="8" s="1"/>
  <c r="K54" i="12"/>
  <c r="H5" i="8" s="1"/>
  <c r="F5"/>
  <c r="F6"/>
  <c r="K54" i="13"/>
  <c r="H6" i="8" s="1"/>
  <c r="F12" i="2"/>
  <c r="G7"/>
  <c r="G12" s="1"/>
  <c r="D4" i="16" s="1"/>
  <c r="H7" i="2"/>
  <c r="H12" s="1"/>
  <c r="C4" i="16" s="1"/>
  <c r="G8" i="15"/>
  <c r="H8"/>
  <c r="I8"/>
  <c r="J54" i="12"/>
  <c r="G5" i="8" s="1"/>
  <c r="J56" i="12"/>
  <c r="G8" i="8"/>
  <c r="G18" i="6" s="1"/>
  <c r="G21" s="1"/>
  <c r="B27" s="1"/>
  <c r="J55" i="12"/>
  <c r="G7" i="8"/>
  <c r="I8" i="2"/>
  <c r="C7" i="16" l="1"/>
  <c r="B4"/>
  <c r="I21" i="2"/>
  <c r="E4" i="16" s="1"/>
  <c r="B5"/>
  <c r="I21" i="14"/>
  <c r="E5" i="16" s="1"/>
  <c r="F7" i="8"/>
  <c r="F8"/>
  <c r="D7" i="16"/>
  <c r="I21" i="15"/>
  <c r="E6" i="16" s="1"/>
  <c r="B6"/>
  <c r="H7" i="8"/>
  <c r="H8"/>
  <c r="I12" i="15"/>
  <c r="F6" i="16" s="1"/>
  <c r="G12" i="15"/>
  <c r="D6" i="16" s="1"/>
  <c r="D8" s="1"/>
  <c r="I7" i="2"/>
  <c r="I12" s="1"/>
  <c r="H12" i="15"/>
  <c r="C6" i="16" s="1"/>
  <c r="C8" s="1"/>
  <c r="E21" i="6"/>
  <c r="B26" s="1"/>
  <c r="F4" i="16" l="1"/>
  <c r="A4" i="6"/>
  <c r="B8" i="16"/>
  <c r="B7"/>
  <c r="E7"/>
  <c r="E8"/>
  <c r="F8" l="1"/>
  <c r="F7"/>
</calcChain>
</file>

<file path=xl/sharedStrings.xml><?xml version="1.0" encoding="utf-8"?>
<sst xmlns="http://schemas.openxmlformats.org/spreadsheetml/2006/main" count="537" uniqueCount="216">
  <si>
    <t>(A)</t>
  </si>
  <si>
    <t>(C)</t>
  </si>
  <si>
    <t>(C=AxB)</t>
  </si>
  <si>
    <t>(D)</t>
  </si>
  <si>
    <t>(E)</t>
  </si>
  <si>
    <t>(F)</t>
  </si>
  <si>
    <t>(G)</t>
  </si>
  <si>
    <t>(Ex0.1)</t>
  </si>
  <si>
    <t>(H)</t>
  </si>
  <si>
    <t>1. Applications</t>
  </si>
  <si>
    <t>2. Survey and Studies</t>
  </si>
  <si>
    <t>B. Required activities</t>
  </si>
  <si>
    <t>C. Create information</t>
  </si>
  <si>
    <t>D. Gather existing information</t>
  </si>
  <si>
    <t>E. Write report</t>
  </si>
  <si>
    <t>TOTAL BURDEN AND COST (SALARY)</t>
  </si>
  <si>
    <t>N/A = Not Applicable.</t>
  </si>
  <si>
    <t>(B)</t>
  </si>
  <si>
    <t>Cost,$ (a)</t>
  </si>
  <si>
    <t>Activity</t>
  </si>
  <si>
    <t>Report Review</t>
  </si>
  <si>
    <t>N/A = Not applicable.</t>
  </si>
  <si>
    <t xml:space="preserve">   Technical</t>
  </si>
  <si>
    <t xml:space="preserve">    Management</t>
  </si>
  <si>
    <t xml:space="preserve">    Clerical</t>
  </si>
  <si>
    <t xml:space="preserve"> Management person-hours and clerical person-hours are assumed to be 5 percent and 10 percent of technical person-hours, respectively.</t>
  </si>
  <si>
    <t>Total hours</t>
  </si>
  <si>
    <t>No. of respondents</t>
  </si>
  <si>
    <t>Total</t>
  </si>
  <si>
    <t>3-yr Ave.</t>
  </si>
  <si>
    <t>$/hr</t>
  </si>
  <si>
    <t>Inputs for Respondent Burden Table</t>
  </si>
  <si>
    <t>Cost of file cabinet</t>
  </si>
  <si>
    <t>Labor category -- Respondents</t>
  </si>
  <si>
    <t>Labor category -- Agency</t>
  </si>
  <si>
    <t>Applies to:</t>
  </si>
  <si>
    <t>CALCULATIONS NEEDED FOR ROCIS</t>
  </si>
  <si>
    <t>Total Annual Hour Burden</t>
  </si>
  <si>
    <t>Comments</t>
  </si>
  <si>
    <t>Reporting</t>
  </si>
  <si>
    <t>Recordkeeping</t>
  </si>
  <si>
    <t>Third Party Disclosure</t>
  </si>
  <si>
    <t>Totals</t>
  </si>
  <si>
    <t>Cost per Response (Capital/Startup and O&amp;M Costs)</t>
  </si>
  <si>
    <t>Total Annual Cost Burden (Capital/Startup and O&amp;M Costs)</t>
  </si>
  <si>
    <t>11.  Hour and Cost Burden</t>
  </si>
  <si>
    <t>12.  Allocate the change in Burden</t>
  </si>
  <si>
    <t>Annual Responses</t>
  </si>
  <si>
    <t>Annual Hour Burden</t>
  </si>
  <si>
    <t>Annual Cost Burden (Capital/Startup and O&amp;M Costs)</t>
  </si>
  <si>
    <t>Total Requested</t>
  </si>
  <si>
    <t>Change Due to Agency Decision</t>
  </si>
  <si>
    <t>Change Due to New Statute</t>
  </si>
  <si>
    <t>Due to Agency Estimate</t>
  </si>
  <si>
    <t>Change due to Violation</t>
  </si>
  <si>
    <t>Currently Approved</t>
  </si>
  <si>
    <t>No. of small businesses</t>
  </si>
  <si>
    <t>9. Respondents</t>
  </si>
  <si>
    <t>Total number:</t>
  </si>
  <si>
    <t>Small entity number:</t>
  </si>
  <si>
    <t>10.  Frequency</t>
  </si>
  <si>
    <t>Calculated Annual Frequency:</t>
  </si>
  <si>
    <t>Calculated Annual Number of Responses:</t>
  </si>
  <si>
    <t>N/A</t>
  </si>
  <si>
    <t>Total number of existing affected plants</t>
  </si>
  <si>
    <t>No. of new affected plants per year</t>
  </si>
  <si>
    <t>Total number of affected plants</t>
  </si>
  <si>
    <t>No. of plant transmittals</t>
  </si>
  <si>
    <t xml:space="preserve">  Initial Notification</t>
  </si>
  <si>
    <t xml:space="preserve">  Notification of Compliance Status</t>
  </si>
  <si>
    <t xml:space="preserve">  Annual Compliance Certification</t>
  </si>
  <si>
    <t xml:space="preserve">  Annual Report of Deviations</t>
  </si>
  <si>
    <t xml:space="preserve">  TOTAL</t>
  </si>
  <si>
    <t>A. Read instructions</t>
  </si>
  <si>
    <t xml:space="preserve">  Records of operations</t>
  </si>
  <si>
    <t>F.  Time to train personnel</t>
  </si>
  <si>
    <t>(i) The total annual number of responses is calculated by summing the product of columns B and D for each of the reports listed in 4B.</t>
  </si>
  <si>
    <t xml:space="preserve">   Initial Notification (b)</t>
  </si>
  <si>
    <t xml:space="preserve">   Notification of Compliance Status (c)</t>
  </si>
  <si>
    <t xml:space="preserve">   Annual Compliance Certification (d)</t>
  </si>
  <si>
    <t>14.  Annual Cost to Federal Government</t>
  </si>
  <si>
    <t>Part II:  Information Collection Detail</t>
  </si>
  <si>
    <t>Part I:  Information Collection Request</t>
  </si>
  <si>
    <t xml:space="preserve">  Annual Report of Exceedences</t>
  </si>
  <si>
    <t xml:space="preserve"> </t>
  </si>
  <si>
    <t xml:space="preserve">   Report of Exceedence (e)</t>
  </si>
  <si>
    <t>Description from Reference 1.</t>
  </si>
  <si>
    <t>$/hr (+ Ovhd)</t>
  </si>
  <si>
    <t>Architecture and Engineering Occupations:  17-0000</t>
  </si>
  <si>
    <t>Management Occupations:  11-0000</t>
  </si>
  <si>
    <t>Office and Administrative Support Occupations:  43-9061</t>
  </si>
  <si>
    <t>(e)  Assumes that 2 facilities per year would have to submit an exceedance report per year.</t>
  </si>
  <si>
    <t>Installation, Maintenance, Repair</t>
  </si>
  <si>
    <t xml:space="preserve">    Maintenance</t>
  </si>
  <si>
    <t xml:space="preserve">    Technical</t>
  </si>
  <si>
    <t>A. Read instructions (b)</t>
  </si>
  <si>
    <t>(e)  Assumes that 2 facilities per year would have to submit a Report of exceedence.</t>
  </si>
  <si>
    <t>Hours per response based on year 1.  Used 3-yr avg. burden to estimate total annual hour burden.</t>
  </si>
  <si>
    <t>Avg. hours per response</t>
  </si>
  <si>
    <t>Read rule; submit Initial Notification; Notification of Compliance Status; train staff; keep records, annual compliance certification</t>
  </si>
  <si>
    <t xml:space="preserve">(C) </t>
  </si>
  <si>
    <t xml:space="preserve">  e. Manganese ore sampling</t>
  </si>
  <si>
    <t xml:space="preserve">  f. Daily VE check (5 control devices) </t>
  </si>
  <si>
    <t xml:space="preserve">  g. Dailiy VE check (8 control devices)</t>
  </si>
  <si>
    <t xml:space="preserve">  h. Pressure drop/liquid flow rate CPMS-scrubber</t>
  </si>
  <si>
    <t xml:space="preserve">        Initial Capital</t>
  </si>
  <si>
    <t xml:space="preserve">       Annual (O&amp;M)</t>
  </si>
  <si>
    <t>Bag leak detection system</t>
  </si>
  <si>
    <t>Felman</t>
  </si>
  <si>
    <t>3 PP FF</t>
  </si>
  <si>
    <t>1 NP FF</t>
  </si>
  <si>
    <t>Eramet</t>
  </si>
  <si>
    <t>3 NP FF</t>
  </si>
  <si>
    <t>Capital</t>
  </si>
  <si>
    <t>Annual</t>
  </si>
  <si>
    <t>based on 4 sensor system from the Monitoring Costs and Benefits tool</t>
  </si>
  <si>
    <t>based on 2 sensor system from the Monitoring Costs and Benefits tool</t>
  </si>
  <si>
    <t xml:space="preserve">  j. Bag Leak Detection System </t>
  </si>
  <si>
    <t xml:space="preserve">  i. Carbon injection rate CPMS</t>
  </si>
  <si>
    <t xml:space="preserve">  k. Differential pressure monitor</t>
  </si>
  <si>
    <t>(I)</t>
  </si>
  <si>
    <t>(J)</t>
  </si>
  <si>
    <t xml:space="preserve">(K) </t>
  </si>
  <si>
    <t>(L)</t>
  </si>
  <si>
    <t>((B+C)xDxF)</t>
  </si>
  <si>
    <t>(DxF)</t>
  </si>
  <si>
    <t>3. Reporting Requirements</t>
  </si>
  <si>
    <t>(b) One-time activity.  There are an estimated 2 existing ferroalloys production facilities and no new facilities are expected.</t>
  </si>
  <si>
    <t xml:space="preserve">(E) </t>
  </si>
  <si>
    <t xml:space="preserve">  c.  Initial Compliance test (PM) -- NP FF(c) </t>
  </si>
  <si>
    <t>(AxD)</t>
  </si>
  <si>
    <t>(ExF)</t>
  </si>
  <si>
    <t>(Gx0.05)</t>
  </si>
  <si>
    <t>(Gx0.1)</t>
  </si>
  <si>
    <t xml:space="preserve">Assumes 1 facility per year reports an exceedance </t>
  </si>
  <si>
    <t xml:space="preserve">Ref. 1: May 2010 National Industry-Specific Occupational Employment and Wage Estimates, NAICS 331100-Iron and Steel Mills and Ferroalloy Manufacturing </t>
  </si>
  <si>
    <t xml:space="preserve">  d. Initial Method 9 (c) </t>
  </si>
  <si>
    <t>See 3B</t>
  </si>
  <si>
    <t>(d) The 2 existing plants would be required to submit an Annual Compliance Certification at the end of Year 2 of the ICR and each year thereafter.</t>
  </si>
  <si>
    <t>4.  Recordkeeping Requirements</t>
  </si>
  <si>
    <t xml:space="preserve">  e. Develop process fugives ventilation plan</t>
  </si>
  <si>
    <t xml:space="preserve">  f. Update fugitive dust control plan</t>
  </si>
  <si>
    <t xml:space="preserve">  g. Update baghouse monitoring plan</t>
  </si>
  <si>
    <t xml:space="preserve">  h. Develop bagleak detection system SOP</t>
  </si>
  <si>
    <t xml:space="preserve">  d. Report of Exceedences (e) </t>
  </si>
  <si>
    <t xml:space="preserve">  c. Annual Compliance Certification (d)</t>
  </si>
  <si>
    <t xml:space="preserve">  b. Notification of Compliance Status </t>
  </si>
  <si>
    <t xml:space="preserve">  a. Initial Notification </t>
  </si>
  <si>
    <t>See 3A</t>
  </si>
  <si>
    <t>(f)  Recordkeeping requirements begin in Year 2 of ICR clearance period for all existing plants.</t>
  </si>
  <si>
    <t>B.  Implement activities</t>
  </si>
  <si>
    <t>C.  Develop record system</t>
  </si>
  <si>
    <t>D.  Time to enter information</t>
  </si>
  <si>
    <t>E. Records of all info. required by standards (f)</t>
  </si>
  <si>
    <t xml:space="preserve"> i. Affirmative Defense</t>
  </si>
  <si>
    <t>Reporting Subtotal</t>
  </si>
  <si>
    <t>Recordkeeping Subtotal</t>
  </si>
  <si>
    <t xml:space="preserve">(a) Costs are based on the following hourly rates:  technical at $111.48, management at $132.04, and clerical at $41.75, except the daily VE and Method 22s are $63.80. </t>
  </si>
  <si>
    <t>G.  Time for audits</t>
  </si>
  <si>
    <t>TOTAL</t>
  </si>
  <si>
    <t>Total Hours</t>
  </si>
  <si>
    <t>Non-Labor</t>
  </si>
  <si>
    <t>Summary of respondent burden</t>
  </si>
  <si>
    <t>Initial capital and startup</t>
  </si>
  <si>
    <t>Annualized Capital/startup and O&amp;M</t>
  </si>
  <si>
    <t>Labor Cost</t>
  </si>
  <si>
    <t>Person-hours per occurrence</t>
  </si>
  <si>
    <t>Stack testing  cost per occurrence</t>
  </si>
  <si>
    <t>Other non-labor costs per occurrence</t>
  </si>
  <si>
    <t>No. of occurrences per respondent per year</t>
  </si>
  <si>
    <t>Person-hours per respondent per year</t>
  </si>
  <si>
    <t>Respondents per year</t>
  </si>
  <si>
    <t>Technical person-hours per year</t>
  </si>
  <si>
    <t>Management person-hours per year</t>
  </si>
  <si>
    <t>Clerical person-hours per year</t>
  </si>
  <si>
    <t>Total labor costs per year</t>
  </si>
  <si>
    <t>Total non-labor costs per year</t>
  </si>
  <si>
    <t>Total number of responses per year</t>
  </si>
  <si>
    <t>EPA person-hours per occurrence</t>
  </si>
  <si>
    <t>No. of occurrences per plant per year</t>
  </si>
  <si>
    <t>EPA person-hours per plant per year</t>
  </si>
  <si>
    <t>Plants per year</t>
  </si>
  <si>
    <t>% of responses</t>
  </si>
  <si>
    <t xml:space="preserve">Total  </t>
  </si>
  <si>
    <t>Year</t>
  </si>
  <si>
    <t>Technical Hours</t>
  </si>
  <si>
    <t>Clerical Hours</t>
  </si>
  <si>
    <t>Management Hours</t>
  </si>
  <si>
    <t>Total Labor Hours</t>
  </si>
  <si>
    <t>Non-Labor (annualized Capital/Startup and O&amp;M) Costs</t>
  </si>
  <si>
    <t>Total Costs</t>
  </si>
  <si>
    <t>Average</t>
  </si>
  <si>
    <t>(d) The affected 2 plants will submit an annual compliance certification each year.</t>
  </si>
  <si>
    <t>GS-13, Step 5, $38.92 + 60%</t>
  </si>
  <si>
    <t>GS-12, Step 1, $28.88 + 60%</t>
  </si>
  <si>
    <t>GS-6, Step 3, $15.63 + 60%</t>
  </si>
  <si>
    <t>Description from Reference 2.</t>
  </si>
  <si>
    <t>Ref. 2: Office of Personnel Management (OPM) 2010 General Schedule, Salary Table 2010-GS</t>
  </si>
  <si>
    <t xml:space="preserve">(g)  Transmittals would include Initial Notifications for 2 plants, Notifications of Compliance Status for 2 plants, Annual Compliance Certifications for </t>
  </si>
  <si>
    <t xml:space="preserve">      10 plants (combined with exceedence Reports), for an average of (2+2+2)/3 = 2 for each year of the 3-yr ICR clearance period.</t>
  </si>
  <si>
    <t>(b) The affected 2 plants will submit the initial notification, leading to an average annual burden of 0.7 plants/yr in Year 1.</t>
  </si>
  <si>
    <t>(c) The affected 2 plants will submit the notification of compliance status, leading to an average annual burden of 0.7 plants/yr in Year 1.</t>
  </si>
  <si>
    <t>TABLE 1.  YEAR 1 ANNUAL RESPONDENT BURDEN AND COST OF REPORTING AND RECORDKEEPING REQUIREMENTS FOR FERROALLOYS PRODUCTION: FERROMANGANESE AND SILICOMANGANESE</t>
  </si>
  <si>
    <t>TABLE 2.  YEAR 2 ANNUAL RESPONDENT BURDEN AND COST OF REPORTING AND RECORDKEEPING REQUIREMENTS FOR FERROALLOYS PRODUCTION: FERROMANGANESE AND SILICOMANGANESE</t>
  </si>
  <si>
    <t>TABLE 3.  YEAR 3 ANNUAL RESPONDENT BURDEN AND COST OF REPORTING AND RECORDKEEPING REQUIREMENTS FOR FERROALLOYS PRODUCTION: FERROMANGANESE AND SILICOMANGANESE</t>
  </si>
  <si>
    <t>TABLE 4.  SUMMARY OF ANNUAL RESPONDENT BURDEN AND COST OF REPORTING AND RECORDKEEPING REQUIREMENTS FOR FERROALLOYS PRODUCTION: FERROMANGANESE AND SILICOMANGANESE</t>
  </si>
  <si>
    <t>TABLE 5.  YEAR 1 ANNUAL BURDEN AND COST TO THE FEDERAL GOVERNMENT FOR FERROALLOYS PRODUCTION: FERROMANGANESE AND SILICOMANGANESE</t>
  </si>
  <si>
    <t>TABLE 6.  YEAR 2 ANNUAL BURDEN AND COST TO THE FEDERAL GOVERNMENT FOR FERROALLOYS PRODUCTION: FERROMANGANESE AND SILICOMANGANESE</t>
  </si>
  <si>
    <t>TABLE 7.  YEAR 3 ANNUAL BURDEN AND COST TO THE FEDERAL GOVERNMENT FOR FERROALLOYS PRODUCTION: FERROMANGANESE AND SILICOMANGANESE</t>
  </si>
  <si>
    <t>TABLE 8.  SUMMARY OF ANNUAL BURDEN AND COST TO THE FEDERAL GOVERNMENT FOR FERROALLYS PRODUCTION: FERROMANGANES AND SILICOMANGANESE</t>
  </si>
  <si>
    <t xml:space="preserve">(a) Costs are based on the following hourly rates:  technical at $46.21, management at $62.27, and clerical at $25.01. </t>
  </si>
  <si>
    <t xml:space="preserve">   Review compliance monitoring plans prepared by plants</t>
  </si>
  <si>
    <t xml:space="preserve">(c) Occurs every 5 years, initial tests estimated to occur in Year 2 of ICR.  Assume the facilities hire a contractor. Costs based on estimates provided by EPA Emissions Measurement Group.  </t>
  </si>
  <si>
    <t>Hours per Response</t>
  </si>
  <si>
    <t xml:space="preserve">  a.  Initial Compliance test (PM, HCl, Hg, PAH, formaldehyde) - PP FF (c) </t>
  </si>
  <si>
    <t xml:space="preserve">  b.  Initial Compliance test (PM, HCl, Hg, PAH, formaldehyde) - NP FF/Scrbr (c)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</si>
</sst>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  <numFmt numFmtId="171" formatCode="#,##0.0"/>
    <numFmt numFmtId="173" formatCode="&quot;$&quot;#,##0"/>
    <numFmt numFmtId="174" formatCode="&quot;$&quot;#,##0.00"/>
    <numFmt numFmtId="177" formatCode="_(&quot;$&quot;* #,##0_);_(&quot;$&quot;* \(#,##0\);_(&quot;$&quot;* &quot;-&quot;??_);_(@_)"/>
    <numFmt numFmtId="179" formatCode="_(* #,##0_);_(* \(#,##0\);_(* &quot;-&quot;??_);_(@_)"/>
    <numFmt numFmtId="186" formatCode="#,##0.000"/>
  </numFmts>
  <fonts count="5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2" fillId="0" borderId="0" xfId="0" applyFont="1"/>
    <xf numFmtId="179" fontId="0" fillId="0" borderId="0" xfId="0" applyNumberFormat="1"/>
    <xf numFmtId="0" fontId="0" fillId="0" borderId="8" xfId="0" applyBorder="1"/>
    <xf numFmtId="173" fontId="0" fillId="0" borderId="1" xfId="2" applyNumberFormat="1" applyFont="1" applyBorder="1"/>
    <xf numFmtId="0" fontId="3" fillId="0" borderId="0" xfId="0" applyFont="1"/>
    <xf numFmtId="174" fontId="2" fillId="0" borderId="0" xfId="0" applyNumberFormat="1" applyFont="1" applyBorder="1" applyAlignment="1">
      <alignment horizontal="right"/>
    </xf>
    <xf numFmtId="173" fontId="0" fillId="0" borderId="6" xfId="2" applyNumberFormat="1" applyFont="1" applyBorder="1"/>
    <xf numFmtId="1" fontId="0" fillId="0" borderId="0" xfId="0" applyNumberFormat="1"/>
    <xf numFmtId="3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171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73" fontId="0" fillId="0" borderId="8" xfId="0" applyNumberFormat="1" applyBorder="1" applyAlignment="1">
      <alignment horizontal="center"/>
    </xf>
    <xf numFmtId="171" fontId="0" fillId="0" borderId="7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73" fontId="0" fillId="0" borderId="7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/>
    <xf numFmtId="0" fontId="3" fillId="0" borderId="1" xfId="0" applyFont="1" applyBorder="1"/>
    <xf numFmtId="3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5" fontId="0" fillId="0" borderId="0" xfId="0" applyNumberFormat="1"/>
    <xf numFmtId="171" fontId="0" fillId="0" borderId="1" xfId="0" applyNumberFormat="1" applyBorder="1" applyAlignment="1">
      <alignment horizontal="center" wrapText="1"/>
    </xf>
    <xf numFmtId="186" fontId="0" fillId="0" borderId="1" xfId="0" applyNumberFormat="1" applyBorder="1" applyAlignment="1">
      <alignment horizontal="center"/>
    </xf>
    <xf numFmtId="174" fontId="0" fillId="0" borderId="1" xfId="0" applyNumberFormat="1" applyBorder="1" applyAlignment="1">
      <alignment horizontal="center"/>
    </xf>
    <xf numFmtId="174" fontId="0" fillId="0" borderId="0" xfId="0" applyNumberFormat="1"/>
    <xf numFmtId="3" fontId="2" fillId="0" borderId="0" xfId="0" applyNumberFormat="1" applyFont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2" fillId="0" borderId="1" xfId="0" applyFont="1" applyBorder="1"/>
    <xf numFmtId="173" fontId="2" fillId="0" borderId="0" xfId="0" applyNumberFormat="1" applyFont="1"/>
    <xf numFmtId="0" fontId="2" fillId="0" borderId="7" xfId="0" applyFont="1" applyBorder="1" applyAlignment="1">
      <alignment horizontal="center"/>
    </xf>
    <xf numFmtId="174" fontId="2" fillId="0" borderId="0" xfId="0" applyNumberFormat="1" applyFont="1" applyBorder="1" applyAlignment="1">
      <alignment horizontal="center"/>
    </xf>
    <xf numFmtId="3" fontId="2" fillId="0" borderId="0" xfId="0" applyNumberFormat="1" applyFont="1"/>
    <xf numFmtId="177" fontId="2" fillId="0" borderId="1" xfId="2" applyNumberFormat="1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6" xfId="0" applyFont="1" applyBorder="1"/>
    <xf numFmtId="165" fontId="0" fillId="0" borderId="4" xfId="1" applyNumberFormat="1" applyFont="1" applyBorder="1"/>
    <xf numFmtId="165" fontId="0" fillId="0" borderId="2" xfId="1" applyNumberFormat="1" applyFont="1" applyBorder="1"/>
    <xf numFmtId="165" fontId="0" fillId="0" borderId="1" xfId="1" applyNumberFormat="1" applyFont="1" applyBorder="1"/>
    <xf numFmtId="165" fontId="2" fillId="0" borderId="1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1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Fill="1" applyBorder="1"/>
    <xf numFmtId="174" fontId="2" fillId="0" borderId="0" xfId="0" applyNumberFormat="1" applyFont="1" applyAlignment="1">
      <alignment horizontal="center"/>
    </xf>
    <xf numFmtId="174" fontId="2" fillId="0" borderId="7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9" xfId="0" applyFont="1" applyBorder="1"/>
    <xf numFmtId="165" fontId="2" fillId="0" borderId="6" xfId="0" applyNumberFormat="1" applyFont="1" applyBorder="1"/>
    <xf numFmtId="177" fontId="2" fillId="0" borderId="0" xfId="2" applyNumberFormat="1" applyFont="1" applyBorder="1"/>
    <xf numFmtId="165" fontId="2" fillId="2" borderId="1" xfId="0" applyNumberFormat="1" applyFont="1" applyFill="1" applyBorder="1"/>
    <xf numFmtId="173" fontId="2" fillId="0" borderId="1" xfId="0" applyNumberFormat="1" applyFont="1" applyBorder="1"/>
    <xf numFmtId="0" fontId="2" fillId="0" borderId="10" xfId="0" applyFont="1" applyBorder="1"/>
    <xf numFmtId="165" fontId="2" fillId="0" borderId="10" xfId="0" applyNumberFormat="1" applyFont="1" applyBorder="1"/>
    <xf numFmtId="3" fontId="2" fillId="0" borderId="7" xfId="0" applyNumberFormat="1" applyFont="1" applyBorder="1"/>
    <xf numFmtId="3" fontId="2" fillId="0" borderId="7" xfId="2" applyNumberFormat="1" applyFont="1" applyBorder="1"/>
    <xf numFmtId="3" fontId="2" fillId="0" borderId="11" xfId="0" applyNumberFormat="1" applyFont="1" applyBorder="1"/>
    <xf numFmtId="1" fontId="2" fillId="0" borderId="11" xfId="2" applyNumberFormat="1" applyFont="1" applyBorder="1"/>
    <xf numFmtId="174" fontId="2" fillId="0" borderId="0" xfId="0" applyNumberFormat="1" applyFont="1" applyBorder="1"/>
    <xf numFmtId="179" fontId="2" fillId="0" borderId="0" xfId="0" applyNumberFormat="1" applyFont="1"/>
    <xf numFmtId="2" fontId="2" fillId="0" borderId="0" xfId="0" applyNumberFormat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7" xfId="0" applyNumberFormat="1" applyFont="1" applyBorder="1"/>
    <xf numFmtId="2" fontId="2" fillId="0" borderId="11" xfId="0" applyNumberFormat="1" applyFont="1" applyBorder="1"/>
    <xf numFmtId="2" fontId="2" fillId="0" borderId="0" xfId="0" applyNumberFormat="1" applyFo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173" fontId="2" fillId="0" borderId="1" xfId="1" applyNumberFormat="1" applyFont="1" applyBorder="1"/>
    <xf numFmtId="2" fontId="2" fillId="0" borderId="11" xfId="0" applyNumberFormat="1" applyFont="1" applyBorder="1" applyAlignment="1">
      <alignment horizontal="center"/>
    </xf>
    <xf numFmtId="37" fontId="2" fillId="0" borderId="0" xfId="2" applyNumberFormat="1" applyFont="1" applyBorder="1"/>
    <xf numFmtId="177" fontId="2" fillId="0" borderId="0" xfId="2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3" fontId="2" fillId="0" borderId="1" xfId="2" applyNumberFormat="1" applyFont="1" applyBorder="1"/>
    <xf numFmtId="173" fontId="2" fillId="2" borderId="1" xfId="2" applyNumberFormat="1" applyFont="1" applyFill="1" applyBorder="1"/>
    <xf numFmtId="173" fontId="2" fillId="0" borderId="10" xfId="2" applyNumberFormat="1" applyFont="1" applyBorder="1"/>
    <xf numFmtId="173" fontId="2" fillId="0" borderId="12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174" fontId="2" fillId="0" borderId="0" xfId="3" applyNumberFormat="1" applyFont="1" applyBorder="1" applyAlignment="1">
      <alignment horizontal="center"/>
    </xf>
    <xf numFmtId="0" fontId="2" fillId="0" borderId="0" xfId="3" applyFont="1" applyBorder="1"/>
    <xf numFmtId="0" fontId="2" fillId="0" borderId="4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center"/>
    </xf>
    <xf numFmtId="165" fontId="2" fillId="0" borderId="13" xfId="0" applyNumberFormat="1" applyFont="1" applyBorder="1"/>
    <xf numFmtId="173" fontId="2" fillId="0" borderId="13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/>
    <xf numFmtId="173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/>
    <xf numFmtId="0" fontId="3" fillId="0" borderId="1" xfId="0" applyFont="1" applyFill="1" applyBorder="1"/>
    <xf numFmtId="173" fontId="2" fillId="2" borderId="1" xfId="0" applyNumberFormat="1" applyFont="1" applyFill="1" applyBorder="1"/>
    <xf numFmtId="2" fontId="2" fillId="0" borderId="10" xfId="0" applyNumberFormat="1" applyFont="1" applyBorder="1" applyAlignment="1">
      <alignment horizontal="center"/>
    </xf>
    <xf numFmtId="173" fontId="2" fillId="0" borderId="10" xfId="0" applyNumberFormat="1" applyFont="1" applyBorder="1" applyAlignment="1">
      <alignment horizontal="center"/>
    </xf>
    <xf numFmtId="0" fontId="2" fillId="0" borderId="5" xfId="0" applyFont="1" applyFill="1" applyBorder="1"/>
    <xf numFmtId="0" fontId="3" fillId="0" borderId="14" xfId="0" applyFont="1" applyBorder="1"/>
    <xf numFmtId="2" fontId="2" fillId="0" borderId="15" xfId="0" applyNumberFormat="1" applyFont="1" applyBorder="1" applyAlignment="1">
      <alignment horizontal="center"/>
    </xf>
    <xf numFmtId="173" fontId="2" fillId="0" borderId="15" xfId="0" applyNumberFormat="1" applyFont="1" applyBorder="1" applyAlignment="1">
      <alignment horizontal="center"/>
    </xf>
    <xf numFmtId="165" fontId="2" fillId="0" borderId="16" xfId="0" applyNumberFormat="1" applyFont="1" applyBorder="1"/>
    <xf numFmtId="165" fontId="2" fillId="0" borderId="14" xfId="0" applyNumberFormat="1" applyFont="1" applyBorder="1"/>
    <xf numFmtId="173" fontId="2" fillId="0" borderId="14" xfId="2" applyNumberFormat="1" applyFont="1" applyBorder="1"/>
    <xf numFmtId="173" fontId="2" fillId="0" borderId="15" xfId="2" applyNumberFormat="1" applyFont="1" applyBorder="1"/>
    <xf numFmtId="0" fontId="2" fillId="0" borderId="17" xfId="0" applyFont="1" applyBorder="1"/>
    <xf numFmtId="2" fontId="2" fillId="0" borderId="15" xfId="0" applyNumberFormat="1" applyFont="1" applyBorder="1"/>
    <xf numFmtId="165" fontId="2" fillId="0" borderId="16" xfId="1" applyNumberFormat="1" applyFont="1" applyBorder="1"/>
    <xf numFmtId="165" fontId="2" fillId="0" borderId="14" xfId="1" applyNumberFormat="1" applyFont="1" applyBorder="1"/>
    <xf numFmtId="165" fontId="2" fillId="0" borderId="18" xfId="1" applyNumberFormat="1" applyFont="1" applyFill="1" applyBorder="1"/>
    <xf numFmtId="2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79" fontId="2" fillId="0" borderId="13" xfId="1" applyNumberFormat="1" applyFont="1" applyBorder="1"/>
    <xf numFmtId="37" fontId="2" fillId="0" borderId="13" xfId="2" applyNumberFormat="1" applyFont="1" applyBorder="1"/>
    <xf numFmtId="179" fontId="2" fillId="0" borderId="1" xfId="1" applyNumberFormat="1" applyFont="1" applyBorder="1"/>
    <xf numFmtId="5" fontId="2" fillId="0" borderId="1" xfId="1" applyNumberFormat="1" applyFont="1" applyBorder="1"/>
    <xf numFmtId="177" fontId="2" fillId="0" borderId="1" xfId="2" applyNumberFormat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3" fontId="2" fillId="0" borderId="6" xfId="0" applyNumberFormat="1" applyFont="1" applyBorder="1" applyAlignment="1">
      <alignment horizontal="center"/>
    </xf>
    <xf numFmtId="173" fontId="2" fillId="0" borderId="6" xfId="2" applyNumberFormat="1" applyFont="1" applyBorder="1"/>
    <xf numFmtId="0" fontId="3" fillId="0" borderId="10" xfId="0" applyFont="1" applyBorder="1"/>
    <xf numFmtId="0" fontId="2" fillId="0" borderId="19" xfId="0" applyFont="1" applyBorder="1"/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7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/>
    <xf numFmtId="0" fontId="2" fillId="0" borderId="3" xfId="0" applyFont="1" applyBorder="1"/>
    <xf numFmtId="0" fontId="2" fillId="0" borderId="0" xfId="0" applyFont="1" applyAlignment="1">
      <alignment horizontal="left" wrapText="1"/>
    </xf>
    <xf numFmtId="0" fontId="3" fillId="0" borderId="0" xfId="0" applyFont="1" applyBorder="1" applyAlignment="1"/>
    <xf numFmtId="0" fontId="0" fillId="0" borderId="0" xfId="0" applyAlignment="1"/>
    <xf numFmtId="0" fontId="3" fillId="0" borderId="0" xfId="0" applyFont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workbookViewId="0">
      <selection activeCell="C28" sqref="C28"/>
    </sheetView>
  </sheetViews>
  <sheetFormatPr defaultRowHeight="12.75"/>
  <cols>
    <col min="1" max="1" width="49.7109375" style="12" customWidth="1"/>
    <col min="2" max="2" width="12.7109375" style="12" customWidth="1"/>
    <col min="3" max="3" width="13.7109375" style="12" customWidth="1"/>
    <col min="4" max="4" width="64.7109375" style="12" customWidth="1"/>
    <col min="5" max="5" width="9" style="12" customWidth="1"/>
    <col min="6" max="16384" width="9.140625" style="12"/>
  </cols>
  <sheetData>
    <row r="1" spans="1:4">
      <c r="A1" s="16" t="s">
        <v>31</v>
      </c>
    </row>
    <row r="2" spans="1:4">
      <c r="B2" s="12" t="s">
        <v>27</v>
      </c>
    </row>
    <row r="3" spans="1:4">
      <c r="B3" s="59" t="s">
        <v>28</v>
      </c>
      <c r="C3" s="59" t="s">
        <v>29</v>
      </c>
      <c r="D3" s="12" t="s">
        <v>35</v>
      </c>
    </row>
    <row r="4" spans="1:4">
      <c r="A4" s="12" t="s">
        <v>64</v>
      </c>
      <c r="B4" s="43">
        <v>2</v>
      </c>
      <c r="C4" s="43">
        <f>+B4</f>
        <v>2</v>
      </c>
    </row>
    <row r="5" spans="1:4">
      <c r="A5" s="12" t="s">
        <v>65</v>
      </c>
      <c r="B5" s="103">
        <v>0</v>
      </c>
      <c r="C5" s="103">
        <f>B5</f>
        <v>0</v>
      </c>
    </row>
    <row r="6" spans="1:4" ht="25.5">
      <c r="A6" s="104" t="s">
        <v>66</v>
      </c>
      <c r="B6" s="102">
        <v>2</v>
      </c>
      <c r="C6" s="102">
        <f>+B6</f>
        <v>2</v>
      </c>
      <c r="D6" s="105" t="s">
        <v>99</v>
      </c>
    </row>
    <row r="7" spans="1:4">
      <c r="A7" s="62" t="s">
        <v>56</v>
      </c>
      <c r="B7" s="60">
        <v>0</v>
      </c>
      <c r="C7" s="43">
        <f>+B7/3</f>
        <v>0</v>
      </c>
      <c r="D7" s="63"/>
    </row>
    <row r="8" spans="1:4">
      <c r="A8" s="16" t="s">
        <v>39</v>
      </c>
      <c r="B8" s="43" t="s">
        <v>84</v>
      </c>
      <c r="C8" s="102" t="s">
        <v>84</v>
      </c>
      <c r="D8" s="61"/>
    </row>
    <row r="9" spans="1:4">
      <c r="A9" s="12" t="s">
        <v>68</v>
      </c>
      <c r="B9" s="43">
        <f>B4</f>
        <v>2</v>
      </c>
      <c r="C9" s="43">
        <f>B9/3</f>
        <v>0.66666666666666663</v>
      </c>
      <c r="D9" s="61"/>
    </row>
    <row r="10" spans="1:4">
      <c r="A10" s="12" t="s">
        <v>69</v>
      </c>
      <c r="B10" s="43">
        <f>B4</f>
        <v>2</v>
      </c>
      <c r="C10" s="43">
        <f>+B10/3</f>
        <v>0.66666666666666663</v>
      </c>
      <c r="D10" s="61"/>
    </row>
    <row r="11" spans="1:4">
      <c r="A11" s="12" t="s">
        <v>70</v>
      </c>
      <c r="B11" s="43">
        <f>B4</f>
        <v>2</v>
      </c>
      <c r="C11" s="43">
        <f>+B11/3</f>
        <v>0.66666666666666663</v>
      </c>
      <c r="D11" s="61"/>
    </row>
    <row r="12" spans="1:4">
      <c r="A12" s="12" t="s">
        <v>83</v>
      </c>
      <c r="B12" s="43">
        <v>1</v>
      </c>
      <c r="C12" s="64">
        <f>+B12/3</f>
        <v>0.33333333333333331</v>
      </c>
      <c r="D12" s="12" t="s">
        <v>134</v>
      </c>
    </row>
    <row r="13" spans="1:4">
      <c r="A13" s="32" t="s">
        <v>72</v>
      </c>
      <c r="B13" s="44"/>
      <c r="C13" s="44">
        <f>SUM(C9:C12)</f>
        <v>2.3333333333333335</v>
      </c>
      <c r="D13" s="63"/>
    </row>
    <row r="14" spans="1:4">
      <c r="A14" s="16" t="s">
        <v>40</v>
      </c>
      <c r="B14" s="43"/>
      <c r="C14" s="43"/>
      <c r="D14" s="61"/>
    </row>
    <row r="15" spans="1:4">
      <c r="A15" s="12" t="s">
        <v>74</v>
      </c>
      <c r="B15" s="43">
        <f>B4</f>
        <v>2</v>
      </c>
      <c r="C15" s="43">
        <f>+B15</f>
        <v>2</v>
      </c>
    </row>
    <row r="16" spans="1:4">
      <c r="A16" s="12" t="s">
        <v>67</v>
      </c>
      <c r="B16" s="43"/>
      <c r="C16" s="65"/>
    </row>
    <row r="17" spans="1:4">
      <c r="A17" s="12" t="s">
        <v>68</v>
      </c>
      <c r="B17" s="43">
        <f>B4</f>
        <v>2</v>
      </c>
      <c r="C17" s="43">
        <f>+B17/3</f>
        <v>0.66666666666666663</v>
      </c>
    </row>
    <row r="18" spans="1:4">
      <c r="A18" s="12" t="s">
        <v>69</v>
      </c>
      <c r="B18" s="43">
        <f>B4</f>
        <v>2</v>
      </c>
      <c r="C18" s="43">
        <f>+B18/3</f>
        <v>0.66666666666666663</v>
      </c>
    </row>
    <row r="19" spans="1:4">
      <c r="A19" s="12" t="s">
        <v>70</v>
      </c>
      <c r="B19" s="43">
        <f>B4</f>
        <v>2</v>
      </c>
      <c r="C19" s="43">
        <f>+B19</f>
        <v>2</v>
      </c>
    </row>
    <row r="20" spans="1:4">
      <c r="A20" s="12" t="s">
        <v>71</v>
      </c>
      <c r="B20" s="43">
        <v>0</v>
      </c>
      <c r="C20" s="43">
        <v>0</v>
      </c>
    </row>
    <row r="21" spans="1:4">
      <c r="A21" s="32" t="s">
        <v>72</v>
      </c>
      <c r="B21" s="60"/>
      <c r="C21" s="44">
        <f>SUM(C17:C20)</f>
        <v>3.333333333333333</v>
      </c>
      <c r="D21" s="62"/>
    </row>
    <row r="22" spans="1:4">
      <c r="A22" s="66" t="s">
        <v>32</v>
      </c>
      <c r="B22" s="46">
        <v>0</v>
      </c>
    </row>
    <row r="23" spans="1:4">
      <c r="A23" s="66"/>
      <c r="B23" s="46"/>
    </row>
    <row r="24" spans="1:4">
      <c r="A24" s="62" t="s">
        <v>33</v>
      </c>
      <c r="B24" s="47" t="s">
        <v>30</v>
      </c>
      <c r="C24" s="47" t="s">
        <v>87</v>
      </c>
      <c r="D24" s="62" t="s">
        <v>86</v>
      </c>
    </row>
    <row r="25" spans="1:4">
      <c r="A25" s="52" t="s">
        <v>94</v>
      </c>
      <c r="B25" s="67"/>
      <c r="C25" s="48">
        <v>111.48</v>
      </c>
      <c r="D25" s="52" t="s">
        <v>88</v>
      </c>
    </row>
    <row r="26" spans="1:4">
      <c r="A26" s="52" t="s">
        <v>23</v>
      </c>
      <c r="B26" s="67"/>
      <c r="C26" s="48">
        <v>132.04</v>
      </c>
      <c r="D26" s="52" t="s">
        <v>89</v>
      </c>
    </row>
    <row r="27" spans="1:4">
      <c r="A27" s="52" t="s">
        <v>24</v>
      </c>
      <c r="B27" s="48"/>
      <c r="C27" s="48">
        <v>41.75</v>
      </c>
      <c r="D27" s="52" t="s">
        <v>90</v>
      </c>
    </row>
    <row r="28" spans="1:4">
      <c r="A28" s="66" t="s">
        <v>93</v>
      </c>
      <c r="B28" s="17"/>
      <c r="C28" s="106">
        <v>63.8</v>
      </c>
      <c r="D28" s="107" t="s">
        <v>92</v>
      </c>
    </row>
    <row r="29" spans="1:4">
      <c r="A29" s="66"/>
      <c r="B29" s="17"/>
      <c r="C29" s="106"/>
      <c r="D29" s="107"/>
    </row>
    <row r="30" spans="1:4">
      <c r="A30" s="62" t="s">
        <v>34</v>
      </c>
      <c r="B30" s="47" t="s">
        <v>30</v>
      </c>
      <c r="C30" s="62"/>
      <c r="D30" s="68" t="s">
        <v>196</v>
      </c>
    </row>
    <row r="31" spans="1:4">
      <c r="A31" s="52" t="s">
        <v>22</v>
      </c>
      <c r="B31" s="17">
        <f>28.88*1.6</f>
        <v>46.207999999999998</v>
      </c>
      <c r="D31" s="12" t="s">
        <v>194</v>
      </c>
    </row>
    <row r="32" spans="1:4">
      <c r="A32" s="52" t="s">
        <v>23</v>
      </c>
      <c r="B32" s="17">
        <f>38.92*1.6</f>
        <v>62.272000000000006</v>
      </c>
      <c r="D32" s="12" t="s">
        <v>193</v>
      </c>
    </row>
    <row r="33" spans="1:4">
      <c r="A33" s="52" t="s">
        <v>24</v>
      </c>
      <c r="B33" s="17">
        <f>15.63*1.6</f>
        <v>25.008000000000003</v>
      </c>
      <c r="D33" s="12" t="s">
        <v>195</v>
      </c>
    </row>
    <row r="35" spans="1:4" ht="33" customHeight="1">
      <c r="A35" s="163" t="s">
        <v>135</v>
      </c>
      <c r="B35" s="163"/>
      <c r="C35" s="163"/>
      <c r="D35" s="163"/>
    </row>
    <row r="36" spans="1:4">
      <c r="A36" s="12" t="s">
        <v>197</v>
      </c>
    </row>
    <row r="39" spans="1:4">
      <c r="B39" s="17" t="s">
        <v>84</v>
      </c>
    </row>
  </sheetData>
  <mergeCells count="1">
    <mergeCell ref="A35:D35"/>
  </mergeCells>
  <phoneticPr fontId="0" type="noConversion"/>
  <pageMargins left="1" right="0.75" top="1" bottom="1" header="0.5" footer="0.5"/>
  <pageSetup scale="94" orientation="landscape" r:id="rId1"/>
  <headerFooter alignWithMargins="0">
    <oddFooter>&amp;L&amp;8&amp;Z&amp;F
&amp;A&amp;R&amp;8&amp;D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topLeftCell="A16" workbookViewId="0">
      <selection activeCell="F18" sqref="F18"/>
    </sheetView>
  </sheetViews>
  <sheetFormatPr defaultRowHeight="12.75"/>
  <cols>
    <col min="1" max="1" width="22.42578125" customWidth="1"/>
    <col min="2" max="4" width="13.85546875" customWidth="1"/>
    <col min="5" max="5" width="15" customWidth="1"/>
    <col min="6" max="6" width="18.7109375" customWidth="1"/>
    <col min="7" max="7" width="21" customWidth="1"/>
    <col min="8" max="8" width="23.42578125" customWidth="1"/>
    <col min="9" max="9" width="17.85546875" customWidth="1"/>
    <col min="10" max="10" width="25.140625" customWidth="1"/>
  </cols>
  <sheetData>
    <row r="1" spans="1:5">
      <c r="A1" t="s">
        <v>36</v>
      </c>
    </row>
    <row r="2" spans="1:5">
      <c r="A2" s="16" t="s">
        <v>82</v>
      </c>
    </row>
    <row r="3" spans="1:5">
      <c r="A3" s="16" t="s">
        <v>80</v>
      </c>
    </row>
    <row r="4" spans="1:5">
      <c r="A4" s="42">
        <f>'Year 1 Agency'!I12</f>
        <v>794.61013333333324</v>
      </c>
    </row>
    <row r="6" spans="1:5">
      <c r="A6" s="16" t="s">
        <v>81</v>
      </c>
    </row>
    <row r="8" spans="1:5">
      <c r="A8" s="16" t="s">
        <v>57</v>
      </c>
    </row>
    <row r="9" spans="1:5">
      <c r="A9" t="s">
        <v>58</v>
      </c>
      <c r="B9" s="19">
        <f>'Burden Table Inputs'!C6</f>
        <v>2</v>
      </c>
      <c r="C9" s="19"/>
      <c r="D9" s="19"/>
    </row>
    <row r="10" spans="1:5">
      <c r="A10" t="s">
        <v>59</v>
      </c>
      <c r="B10" s="19">
        <f>'Burden Table Inputs'!C7</f>
        <v>0</v>
      </c>
      <c r="C10" s="19"/>
      <c r="D10" s="19"/>
    </row>
    <row r="11" spans="1:5">
      <c r="B11" s="19"/>
      <c r="C11" s="19"/>
      <c r="D11" s="19"/>
    </row>
    <row r="12" spans="1:5">
      <c r="A12" s="16" t="s">
        <v>60</v>
      </c>
      <c r="B12" s="19"/>
      <c r="C12" s="19"/>
      <c r="D12" s="19"/>
    </row>
    <row r="13" spans="1:5">
      <c r="A13" t="s">
        <v>61</v>
      </c>
      <c r="B13" s="19"/>
      <c r="C13" s="19"/>
      <c r="D13" s="19"/>
      <c r="E13" s="38">
        <v>1</v>
      </c>
    </row>
    <row r="14" spans="1:5">
      <c r="A14" t="s">
        <v>62</v>
      </c>
      <c r="B14" s="19"/>
      <c r="C14" s="19"/>
      <c r="D14" s="19"/>
      <c r="E14" s="1">
        <f>('Year 1 Resp'!M52+'Year 2 Resp'!M52+'Year 3 Resp'!M52)/3</f>
        <v>11.666666666666666</v>
      </c>
    </row>
    <row r="16" spans="1:5">
      <c r="A16" s="16" t="s">
        <v>45</v>
      </c>
    </row>
    <row r="17" spans="1:10" ht="38.25">
      <c r="A17" s="8"/>
      <c r="B17" s="31" t="s">
        <v>213</v>
      </c>
      <c r="C17" s="152" t="s">
        <v>182</v>
      </c>
      <c r="D17" s="31" t="s">
        <v>98</v>
      </c>
      <c r="E17" s="31" t="s">
        <v>37</v>
      </c>
      <c r="F17" s="31" t="s">
        <v>43</v>
      </c>
      <c r="G17" s="31" t="s">
        <v>44</v>
      </c>
      <c r="H17" s="36" t="s">
        <v>38</v>
      </c>
      <c r="I17" s="2"/>
    </row>
    <row r="18" spans="1:10" ht="51">
      <c r="A18" s="3" t="s">
        <v>39</v>
      </c>
      <c r="B18" s="23">
        <f>('Year 1 Resp'!F42/'Year 1 Resp'!E42)+('Year 2 Resp'!F42/'Year 2 Resp'!F42)+('Year 3 Resp'!G42/'Year 3 Resp'!F42)</f>
        <v>1.8471196268784233</v>
      </c>
      <c r="C18" s="23">
        <f>B18/B21</f>
        <v>0.31948542358061405</v>
      </c>
      <c r="D18" s="23">
        <v>12.88</v>
      </c>
      <c r="E18" s="23">
        <f>+D18/D21*'3-yr Average Resp'!E8</f>
        <v>154.69333333333336</v>
      </c>
      <c r="F18" s="41">
        <f>346880/12</f>
        <v>28906.666666666668</v>
      </c>
      <c r="G18" s="21">
        <f>'3-yr Average Resp'!G8</f>
        <v>346880</v>
      </c>
      <c r="H18" s="22" t="s">
        <v>97</v>
      </c>
      <c r="I18" s="35"/>
    </row>
    <row r="19" spans="1:10" ht="51">
      <c r="A19" s="3" t="s">
        <v>40</v>
      </c>
      <c r="B19" s="23">
        <f>('Year 1 Resp'!F51/'Year 1 Resp'!E51)+('Year 2 Resp'!F51/'Year 2 Resp'!E51)+('Year 3 Resp'!F51/'Year 3 Resp'!E51)</f>
        <v>3.9344262295081966</v>
      </c>
      <c r="C19" s="23">
        <f>+B19/B21</f>
        <v>0.68051457641938595</v>
      </c>
      <c r="D19" s="23">
        <f>483*0.68/12</f>
        <v>27.37</v>
      </c>
      <c r="E19" s="23">
        <f>+D19/D21*'3-yr Average Resp'!E8</f>
        <v>328.72333333333336</v>
      </c>
      <c r="F19" s="41">
        <f>G19/12</f>
        <v>0</v>
      </c>
      <c r="G19" s="41">
        <f>'Year 1 Resp'!L51</f>
        <v>0</v>
      </c>
      <c r="H19" s="22" t="s">
        <v>97</v>
      </c>
      <c r="I19" s="35"/>
    </row>
    <row r="20" spans="1:10">
      <c r="A20" s="3" t="s">
        <v>41</v>
      </c>
      <c r="B20" s="40"/>
      <c r="C20" s="40"/>
      <c r="D20" s="40"/>
      <c r="E20" s="23"/>
      <c r="F20" s="21">
        <v>0</v>
      </c>
      <c r="G20" s="21"/>
      <c r="H20" s="21"/>
      <c r="I20" s="35"/>
    </row>
    <row r="21" spans="1:10">
      <c r="A21" s="8" t="s">
        <v>42</v>
      </c>
      <c r="B21" s="23">
        <f>SUM(B18:B20)</f>
        <v>5.7815458563866198</v>
      </c>
      <c r="C21" s="23"/>
      <c r="D21" s="23">
        <f>SUM(D18:D20)</f>
        <v>40.25</v>
      </c>
      <c r="E21" s="23">
        <f>SUM(E18:E20)</f>
        <v>483.41666666666674</v>
      </c>
      <c r="F21" s="21">
        <f>SUM(F18:F20)</f>
        <v>28906.666666666668</v>
      </c>
      <c r="G21" s="21">
        <f>SUM(G18:G20)</f>
        <v>346880</v>
      </c>
      <c r="H21" s="21"/>
      <c r="I21" s="35"/>
    </row>
    <row r="22" spans="1:10">
      <c r="A22" s="14"/>
      <c r="B22" s="24"/>
      <c r="C22" s="24"/>
      <c r="D22" s="24"/>
      <c r="E22" s="25"/>
      <c r="F22" s="26"/>
      <c r="G22" s="26"/>
      <c r="H22" s="26"/>
      <c r="I22" s="35"/>
    </row>
    <row r="23" spans="1:10">
      <c r="A23" s="32" t="s">
        <v>46</v>
      </c>
      <c r="B23" s="27"/>
      <c r="C23" s="27"/>
      <c r="D23" s="27"/>
      <c r="E23" s="28"/>
      <c r="F23" s="29"/>
      <c r="G23" s="29"/>
      <c r="H23" s="29"/>
      <c r="I23" s="30"/>
    </row>
    <row r="24" spans="1:10" ht="25.5">
      <c r="A24" s="33"/>
      <c r="B24" s="39" t="s">
        <v>50</v>
      </c>
      <c r="C24" s="39"/>
      <c r="D24" s="39"/>
      <c r="E24" s="34" t="s">
        <v>52</v>
      </c>
      <c r="F24" s="34" t="s">
        <v>51</v>
      </c>
      <c r="G24" s="34" t="s">
        <v>53</v>
      </c>
      <c r="H24" s="34" t="s">
        <v>54</v>
      </c>
      <c r="I24" s="22" t="s">
        <v>55</v>
      </c>
      <c r="J24" s="36" t="s">
        <v>38</v>
      </c>
    </row>
    <row r="25" spans="1:10">
      <c r="A25" s="3" t="s">
        <v>47</v>
      </c>
      <c r="B25" s="20">
        <f>E14</f>
        <v>11.666666666666666</v>
      </c>
      <c r="C25" s="20"/>
      <c r="D25" s="20"/>
      <c r="E25" s="20"/>
      <c r="F25" s="21"/>
      <c r="G25" s="21"/>
      <c r="H25" s="21"/>
      <c r="I25" s="22"/>
      <c r="J25" s="3"/>
    </row>
    <row r="26" spans="1:10">
      <c r="A26" s="3" t="s">
        <v>48</v>
      </c>
      <c r="B26" s="20">
        <f>E21</f>
        <v>483.41666666666674</v>
      </c>
      <c r="C26" s="20"/>
      <c r="D26" s="20"/>
      <c r="E26" s="20"/>
      <c r="F26" s="21"/>
      <c r="G26" s="21"/>
      <c r="H26" s="21"/>
      <c r="I26" s="22"/>
      <c r="J26" s="3"/>
    </row>
    <row r="27" spans="1:10" ht="38.25">
      <c r="A27" s="37" t="s">
        <v>49</v>
      </c>
      <c r="B27" s="21">
        <f>G21</f>
        <v>346880</v>
      </c>
      <c r="C27" s="41"/>
      <c r="D27" s="41"/>
      <c r="E27" s="20"/>
      <c r="F27" s="21"/>
      <c r="G27" s="21"/>
      <c r="H27" s="21"/>
      <c r="I27" s="22"/>
      <c r="J27" s="3"/>
    </row>
  </sheetData>
  <phoneticPr fontId="4" type="noConversion"/>
  <pageMargins left="1" right="0.75" top="1" bottom="1" header="0.5" footer="0.5"/>
  <pageSetup scale="75" orientation="landscape" r:id="rId1"/>
  <headerFooter alignWithMargins="0">
    <oddFooter>&amp;L&amp;Z&amp;F
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B9" sqref="B9"/>
    </sheetView>
  </sheetViews>
  <sheetFormatPr defaultRowHeight="12.75"/>
  <sheetData>
    <row r="1" spans="1:4">
      <c r="A1" t="s">
        <v>107</v>
      </c>
    </row>
    <row r="2" spans="1:4">
      <c r="B2" t="s">
        <v>113</v>
      </c>
      <c r="C2" t="s">
        <v>114</v>
      </c>
    </row>
    <row r="3" spans="1:4">
      <c r="A3" t="s">
        <v>108</v>
      </c>
    </row>
    <row r="4" spans="1:4">
      <c r="A4" t="s">
        <v>109</v>
      </c>
      <c r="B4">
        <f>47000*3</f>
        <v>141000</v>
      </c>
      <c r="C4">
        <f>39362*3</f>
        <v>118086</v>
      </c>
      <c r="D4" t="s">
        <v>115</v>
      </c>
    </row>
    <row r="5" spans="1:4">
      <c r="A5" t="s">
        <v>110</v>
      </c>
      <c r="B5">
        <v>32037</v>
      </c>
      <c r="C5">
        <v>25248</v>
      </c>
      <c r="D5" t="s">
        <v>116</v>
      </c>
    </row>
    <row r="7" spans="1:4">
      <c r="A7" t="s">
        <v>111</v>
      </c>
    </row>
    <row r="8" spans="1:4">
      <c r="A8" t="s">
        <v>112</v>
      </c>
      <c r="B8">
        <f>32037*3</f>
        <v>96111</v>
      </c>
      <c r="C8">
        <f>25248*3</f>
        <v>75744</v>
      </c>
      <c r="D8" t="s">
        <v>116</v>
      </c>
    </row>
    <row r="9" spans="1:4">
      <c r="B9">
        <f>B4+B5+B8</f>
        <v>269148</v>
      </c>
      <c r="C9">
        <f>C4+C5+C8</f>
        <v>219078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4"/>
  <sheetViews>
    <sheetView showGridLines="0" zoomScaleNormal="100" workbookViewId="0">
      <pane xSplit="1" ySplit="5" topLeftCell="J6" activePane="bottomRight" state="frozen"/>
      <selection pane="topRight" activeCell="B1" sqref="B1"/>
      <selection pane="bottomLeft" activeCell="A8" sqref="A8"/>
      <selection pane="bottomRight" activeCell="M22" sqref="M22"/>
    </sheetView>
  </sheetViews>
  <sheetFormatPr defaultRowHeight="12.75"/>
  <cols>
    <col min="1" max="1" width="72.7109375" style="12" customWidth="1"/>
    <col min="2" max="4" width="11.7109375" style="90" customWidth="1"/>
    <col min="5" max="13" width="11.7109375" style="12" customWidth="1"/>
    <col min="14" max="14" width="3.28515625" style="12" customWidth="1"/>
    <col min="15" max="16384" width="9.140625" style="12"/>
  </cols>
  <sheetData>
    <row r="1" spans="1:18">
      <c r="A1" s="164" t="s">
        <v>202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8">
      <c r="A2" s="92"/>
      <c r="B2" s="85"/>
      <c r="C2" s="85"/>
      <c r="D2" s="85"/>
      <c r="M2" s="97"/>
    </row>
    <row r="3" spans="1:18">
      <c r="A3" s="53"/>
      <c r="B3" s="109" t="s">
        <v>0</v>
      </c>
      <c r="C3" s="109" t="s">
        <v>17</v>
      </c>
      <c r="D3" s="109" t="s">
        <v>100</v>
      </c>
      <c r="E3" s="69" t="s">
        <v>3</v>
      </c>
      <c r="F3" s="69" t="s">
        <v>128</v>
      </c>
      <c r="G3" s="69" t="s">
        <v>5</v>
      </c>
      <c r="H3" s="69" t="s">
        <v>6</v>
      </c>
      <c r="I3" s="69" t="s">
        <v>8</v>
      </c>
      <c r="J3" s="69" t="s">
        <v>120</v>
      </c>
      <c r="K3" s="69" t="s">
        <v>121</v>
      </c>
      <c r="L3" s="69" t="s">
        <v>122</v>
      </c>
      <c r="M3" s="110" t="s">
        <v>123</v>
      </c>
      <c r="N3" s="70"/>
    </row>
    <row r="4" spans="1:18" ht="63.75">
      <c r="A4" s="71"/>
      <c r="B4" s="111" t="s">
        <v>166</v>
      </c>
      <c r="C4" s="111" t="s">
        <v>167</v>
      </c>
      <c r="D4" s="111" t="s">
        <v>168</v>
      </c>
      <c r="E4" s="108" t="s">
        <v>169</v>
      </c>
      <c r="F4" s="108" t="s">
        <v>170</v>
      </c>
      <c r="G4" s="108" t="s">
        <v>171</v>
      </c>
      <c r="H4" s="108" t="s">
        <v>172</v>
      </c>
      <c r="I4" s="108" t="s">
        <v>173</v>
      </c>
      <c r="J4" s="108" t="s">
        <v>174</v>
      </c>
      <c r="K4" s="108" t="s">
        <v>175</v>
      </c>
      <c r="L4" s="108" t="s">
        <v>176</v>
      </c>
      <c r="M4" s="112" t="s">
        <v>177</v>
      </c>
      <c r="N4" s="70"/>
    </row>
    <row r="5" spans="1:18" ht="13.5" thickBot="1">
      <c r="A5" s="72"/>
      <c r="B5" s="86"/>
      <c r="C5" s="86"/>
      <c r="D5" s="86"/>
      <c r="E5" s="58"/>
      <c r="F5" s="58" t="s">
        <v>130</v>
      </c>
      <c r="G5" s="58"/>
      <c r="H5" s="58" t="s">
        <v>131</v>
      </c>
      <c r="I5" s="58" t="s">
        <v>132</v>
      </c>
      <c r="J5" s="58" t="s">
        <v>133</v>
      </c>
      <c r="K5" s="58"/>
      <c r="L5" s="58" t="s">
        <v>124</v>
      </c>
      <c r="M5" s="113" t="s">
        <v>125</v>
      </c>
      <c r="N5" s="70"/>
    </row>
    <row r="6" spans="1:18">
      <c r="A6" s="114" t="s">
        <v>9</v>
      </c>
      <c r="B6" s="115" t="s">
        <v>63</v>
      </c>
      <c r="C6" s="115"/>
      <c r="D6" s="115"/>
      <c r="E6" s="116"/>
      <c r="F6" s="116"/>
      <c r="G6" s="116"/>
      <c r="H6" s="116"/>
      <c r="I6" s="116"/>
      <c r="J6" s="116"/>
      <c r="K6" s="114"/>
      <c r="L6" s="117"/>
      <c r="M6" s="114"/>
      <c r="N6" s="52"/>
    </row>
    <row r="7" spans="1:18">
      <c r="A7" s="45" t="s">
        <v>10</v>
      </c>
      <c r="B7" s="118" t="s">
        <v>63</v>
      </c>
      <c r="C7" s="118"/>
      <c r="D7" s="118"/>
      <c r="E7" s="57"/>
      <c r="F7" s="57"/>
      <c r="G7" s="57"/>
      <c r="H7" s="57"/>
      <c r="I7" s="57"/>
      <c r="J7" s="57"/>
      <c r="K7" s="45"/>
      <c r="L7" s="76"/>
      <c r="M7" s="45"/>
      <c r="N7" s="52"/>
    </row>
    <row r="8" spans="1:18">
      <c r="A8" s="45" t="s">
        <v>126</v>
      </c>
      <c r="B8" s="87"/>
      <c r="C8" s="87"/>
      <c r="D8" s="87"/>
      <c r="E8" s="57"/>
      <c r="F8" s="57"/>
      <c r="G8" s="57"/>
      <c r="H8" s="57"/>
      <c r="I8" s="57"/>
      <c r="J8" s="57"/>
      <c r="K8" s="50"/>
      <c r="L8" s="98"/>
      <c r="M8" s="45"/>
      <c r="N8" s="74"/>
    </row>
    <row r="9" spans="1:18">
      <c r="A9" s="45" t="s">
        <v>95</v>
      </c>
      <c r="B9" s="87">
        <v>20</v>
      </c>
      <c r="C9" s="87"/>
      <c r="D9" s="87"/>
      <c r="E9" s="57">
        <v>1</v>
      </c>
      <c r="F9" s="57">
        <f>B9*E9</f>
        <v>20</v>
      </c>
      <c r="G9" s="57">
        <v>2</v>
      </c>
      <c r="H9" s="57">
        <f>F9*G9</f>
        <v>40</v>
      </c>
      <c r="I9" s="57">
        <f>0.2*G9</f>
        <v>0.4</v>
      </c>
      <c r="J9" s="57">
        <f>0.1*H9</f>
        <v>4</v>
      </c>
      <c r="K9" s="98">
        <f>(H9*'Burden Table Inputs'!$C$25)+(I9*'Burden Table Inputs'!$C$26)+(J9*'Burden Table Inputs'!$C$27)</f>
        <v>4679.0159999999996</v>
      </c>
      <c r="L9" s="98">
        <f>(C9+D9)*E9*G9</f>
        <v>0</v>
      </c>
      <c r="M9" s="45">
        <f>E9*G9</f>
        <v>2</v>
      </c>
      <c r="N9" s="74"/>
      <c r="R9" s="49"/>
    </row>
    <row r="10" spans="1:18">
      <c r="A10" s="45" t="s">
        <v>11</v>
      </c>
      <c r="B10" s="119"/>
      <c r="C10" s="119"/>
      <c r="D10" s="119"/>
      <c r="E10" s="75"/>
      <c r="F10" s="75"/>
      <c r="G10" s="75"/>
      <c r="H10" s="75"/>
      <c r="I10" s="75"/>
      <c r="J10" s="75"/>
      <c r="K10" s="99"/>
      <c r="L10" s="99"/>
      <c r="M10" s="99"/>
      <c r="N10" s="74"/>
    </row>
    <row r="11" spans="1:18">
      <c r="A11" s="45" t="s">
        <v>214</v>
      </c>
      <c r="B11" s="87">
        <v>15</v>
      </c>
      <c r="C11" s="76">
        <v>200000</v>
      </c>
      <c r="D11" s="87"/>
      <c r="E11" s="57">
        <v>3</v>
      </c>
      <c r="F11" s="57">
        <f t="shared" ref="F11:F49" si="0">B11*E11</f>
        <v>45</v>
      </c>
      <c r="G11" s="57">
        <v>0</v>
      </c>
      <c r="H11" s="57">
        <f t="shared" ref="H11:H17" si="1">F11*G11</f>
        <v>0</v>
      </c>
      <c r="I11" s="57">
        <f t="shared" ref="I11:I17" si="2">0.5*G11</f>
        <v>0</v>
      </c>
      <c r="J11" s="57">
        <f t="shared" ref="J11:J17" si="3">0.1*H11</f>
        <v>0</v>
      </c>
      <c r="K11" s="98">
        <f>(H11*'Burden Table Inputs'!$C$25)+('Year 1 Resp'!I11*'Burden Table Inputs'!$C$26)+('Year 1 Resp'!J11*'Burden Table Inputs'!$C$27)</f>
        <v>0</v>
      </c>
      <c r="L11" s="98">
        <f t="shared" ref="L11:L17" si="4">(C11+D11)*E11*G11</f>
        <v>0</v>
      </c>
      <c r="M11" s="45">
        <f t="shared" ref="M11:M17" si="5">E11*G11</f>
        <v>0</v>
      </c>
      <c r="N11" s="74"/>
    </row>
    <row r="12" spans="1:18">
      <c r="A12" s="45" t="s">
        <v>215</v>
      </c>
      <c r="B12" s="87">
        <v>15</v>
      </c>
      <c r="C12" s="76">
        <v>52000</v>
      </c>
      <c r="D12" s="76"/>
      <c r="E12" s="57">
        <v>2</v>
      </c>
      <c r="F12" s="57">
        <f t="shared" si="0"/>
        <v>30</v>
      </c>
      <c r="G12" s="57">
        <v>0</v>
      </c>
      <c r="H12" s="57">
        <f t="shared" si="1"/>
        <v>0</v>
      </c>
      <c r="I12" s="57">
        <f t="shared" si="2"/>
        <v>0</v>
      </c>
      <c r="J12" s="57">
        <f t="shared" si="3"/>
        <v>0</v>
      </c>
      <c r="K12" s="98">
        <f>(H12*'Burden Table Inputs'!$C$25)+('Year 1 Resp'!I12*'Burden Table Inputs'!$C$26)+('Year 1 Resp'!J12*'Burden Table Inputs'!$C$27)</f>
        <v>0</v>
      </c>
      <c r="L12" s="98">
        <f t="shared" si="4"/>
        <v>0</v>
      </c>
      <c r="M12" s="45">
        <f t="shared" si="5"/>
        <v>0</v>
      </c>
      <c r="N12" s="74"/>
    </row>
    <row r="13" spans="1:18">
      <c r="A13" s="45" t="s">
        <v>129</v>
      </c>
      <c r="B13" s="87">
        <v>20</v>
      </c>
      <c r="C13" s="76">
        <v>10000</v>
      </c>
      <c r="D13" s="76"/>
      <c r="E13" s="57">
        <v>4.5</v>
      </c>
      <c r="F13" s="57">
        <f t="shared" si="0"/>
        <v>90</v>
      </c>
      <c r="G13" s="57">
        <v>0</v>
      </c>
      <c r="H13" s="57">
        <f t="shared" si="1"/>
        <v>0</v>
      </c>
      <c r="I13" s="57">
        <f t="shared" si="2"/>
        <v>0</v>
      </c>
      <c r="J13" s="57">
        <f t="shared" si="3"/>
        <v>0</v>
      </c>
      <c r="K13" s="98">
        <f>(H13*'Burden Table Inputs'!$C$25)+('Year 1 Resp'!I13*'Burden Table Inputs'!$C$26)+('Year 1 Resp'!J13*'Burden Table Inputs'!$C$27)</f>
        <v>0</v>
      </c>
      <c r="L13" s="98">
        <f t="shared" si="4"/>
        <v>0</v>
      </c>
      <c r="M13" s="45">
        <f t="shared" si="5"/>
        <v>0</v>
      </c>
      <c r="N13" s="74"/>
    </row>
    <row r="14" spans="1:18">
      <c r="A14" s="45" t="s">
        <v>136</v>
      </c>
      <c r="B14" s="87">
        <v>4</v>
      </c>
      <c r="C14" s="76">
        <v>2000</v>
      </c>
      <c r="D14" s="76"/>
      <c r="E14" s="57">
        <v>1.5</v>
      </c>
      <c r="F14" s="57">
        <f t="shared" si="0"/>
        <v>6</v>
      </c>
      <c r="G14" s="57">
        <v>0</v>
      </c>
      <c r="H14" s="57">
        <f t="shared" si="1"/>
        <v>0</v>
      </c>
      <c r="I14" s="57">
        <f t="shared" si="2"/>
        <v>0</v>
      </c>
      <c r="J14" s="57">
        <f t="shared" si="3"/>
        <v>0</v>
      </c>
      <c r="K14" s="98">
        <f>(H14*'Burden Table Inputs'!$C$25)+('Year 1 Resp'!I14*'Burden Table Inputs'!$C$26)+('Year 1 Resp'!J14*'Burden Table Inputs'!$C$27)</f>
        <v>0</v>
      </c>
      <c r="L14" s="98">
        <f t="shared" si="4"/>
        <v>0</v>
      </c>
      <c r="M14" s="45">
        <f t="shared" si="5"/>
        <v>0</v>
      </c>
      <c r="N14" s="74"/>
    </row>
    <row r="15" spans="1:18">
      <c r="A15" s="45" t="s">
        <v>101</v>
      </c>
      <c r="B15" s="87">
        <v>2</v>
      </c>
      <c r="C15" s="76"/>
      <c r="D15" s="76">
        <v>200</v>
      </c>
      <c r="E15" s="57">
        <v>3</v>
      </c>
      <c r="F15" s="57">
        <f t="shared" si="0"/>
        <v>6</v>
      </c>
      <c r="G15" s="57">
        <v>0</v>
      </c>
      <c r="H15" s="57">
        <f t="shared" si="1"/>
        <v>0</v>
      </c>
      <c r="I15" s="57">
        <f t="shared" si="2"/>
        <v>0</v>
      </c>
      <c r="J15" s="57">
        <f t="shared" si="3"/>
        <v>0</v>
      </c>
      <c r="K15" s="98">
        <f>(H15*'Burden Table Inputs'!$C$25)+('Year 1 Resp'!I15*'Burden Table Inputs'!$C$26)+('Year 1 Resp'!J15*'Burden Table Inputs'!$C$27)</f>
        <v>0</v>
      </c>
      <c r="L15" s="98">
        <f t="shared" si="4"/>
        <v>0</v>
      </c>
      <c r="M15" s="45">
        <f t="shared" si="5"/>
        <v>0</v>
      </c>
      <c r="N15" s="74"/>
    </row>
    <row r="16" spans="1:18">
      <c r="A16" s="45" t="s">
        <v>102</v>
      </c>
      <c r="B16" s="87">
        <v>0.25</v>
      </c>
      <c r="C16" s="76"/>
      <c r="D16" s="76"/>
      <c r="E16" s="57">
        <v>365</v>
      </c>
      <c r="F16" s="57">
        <f t="shared" si="0"/>
        <v>91.25</v>
      </c>
      <c r="G16" s="57">
        <v>0</v>
      </c>
      <c r="H16" s="57">
        <f t="shared" si="1"/>
        <v>0</v>
      </c>
      <c r="I16" s="57">
        <f t="shared" si="2"/>
        <v>0</v>
      </c>
      <c r="J16" s="57">
        <f t="shared" si="3"/>
        <v>0</v>
      </c>
      <c r="K16" s="98">
        <f>(H16*'Burden Table Inputs'!$C$28)+('Year 1 Resp'!I16*'Burden Table Inputs'!$C$26)+('Year 1 Resp'!J16*'Burden Table Inputs'!$C$27)</f>
        <v>0</v>
      </c>
      <c r="L16" s="98">
        <f t="shared" si="4"/>
        <v>0</v>
      </c>
      <c r="M16" s="45">
        <f t="shared" si="5"/>
        <v>0</v>
      </c>
      <c r="N16" s="74"/>
    </row>
    <row r="17" spans="1:14">
      <c r="A17" s="45" t="s">
        <v>103</v>
      </c>
      <c r="B17" s="87">
        <v>0.4</v>
      </c>
      <c r="C17" s="76"/>
      <c r="D17" s="76"/>
      <c r="E17" s="57">
        <v>365</v>
      </c>
      <c r="F17" s="57">
        <f t="shared" si="0"/>
        <v>146</v>
      </c>
      <c r="G17" s="57">
        <v>0</v>
      </c>
      <c r="H17" s="57">
        <f t="shared" si="1"/>
        <v>0</v>
      </c>
      <c r="I17" s="57">
        <f t="shared" si="2"/>
        <v>0</v>
      </c>
      <c r="J17" s="57">
        <f t="shared" si="3"/>
        <v>0</v>
      </c>
      <c r="K17" s="98">
        <f>(H17*'Burden Table Inputs'!$C$28)+('Year 1 Resp'!I17*'Burden Table Inputs'!$C$26)+('Year 1 Resp'!J17*'Burden Table Inputs'!$C$27)</f>
        <v>0</v>
      </c>
      <c r="L17" s="98">
        <f t="shared" si="4"/>
        <v>0</v>
      </c>
      <c r="M17" s="45">
        <f t="shared" si="5"/>
        <v>0</v>
      </c>
      <c r="N17" s="74"/>
    </row>
    <row r="18" spans="1:14">
      <c r="A18" s="51" t="s">
        <v>104</v>
      </c>
      <c r="B18" s="87"/>
      <c r="C18" s="76"/>
      <c r="D18" s="76"/>
      <c r="E18" s="57"/>
      <c r="F18" s="57"/>
      <c r="G18" s="57"/>
      <c r="H18" s="57"/>
      <c r="I18" s="57"/>
      <c r="J18" s="57"/>
      <c r="K18" s="76"/>
      <c r="L18" s="76"/>
      <c r="M18" s="45"/>
      <c r="N18" s="74"/>
    </row>
    <row r="19" spans="1:14">
      <c r="A19" s="51" t="s">
        <v>105</v>
      </c>
      <c r="B19" s="87">
        <v>2</v>
      </c>
      <c r="C19" s="76"/>
      <c r="D19" s="76">
        <v>50000</v>
      </c>
      <c r="E19" s="57">
        <v>1</v>
      </c>
      <c r="F19" s="57">
        <f t="shared" si="0"/>
        <v>2</v>
      </c>
      <c r="G19" s="57">
        <v>0</v>
      </c>
      <c r="H19" s="57">
        <f>F19*G19</f>
        <v>0</v>
      </c>
      <c r="I19" s="57">
        <f>0.5*G19</f>
        <v>0</v>
      </c>
      <c r="J19" s="57">
        <f>0.1*H19</f>
        <v>0</v>
      </c>
      <c r="K19" s="98">
        <f>(H19*'Burden Table Inputs'!$C$25)+('Year 1 Resp'!I19*'Burden Table Inputs'!$C$26)+('Year 1 Resp'!J19*'Burden Table Inputs'!$C$27)</f>
        <v>0</v>
      </c>
      <c r="L19" s="98">
        <f>(C19+D19)*E19*G19</f>
        <v>0</v>
      </c>
      <c r="M19" s="45">
        <f>E19*G19</f>
        <v>0</v>
      </c>
      <c r="N19" s="74"/>
    </row>
    <row r="20" spans="1:14">
      <c r="A20" s="51" t="s">
        <v>106</v>
      </c>
      <c r="B20" s="87">
        <v>2</v>
      </c>
      <c r="C20" s="76"/>
      <c r="D20" s="76">
        <v>18000</v>
      </c>
      <c r="E20" s="57">
        <v>1</v>
      </c>
      <c r="F20" s="57">
        <f t="shared" si="0"/>
        <v>2</v>
      </c>
      <c r="G20" s="57">
        <v>0</v>
      </c>
      <c r="H20" s="57">
        <f>F20*G20</f>
        <v>0</v>
      </c>
      <c r="I20" s="57">
        <f>0.5*G20</f>
        <v>0</v>
      </c>
      <c r="J20" s="57">
        <f>0.1*H20</f>
        <v>0</v>
      </c>
      <c r="K20" s="76">
        <f>(H20*'Burden Table Inputs'!$C$25)+('Year 1 Resp'!I20*'Burden Table Inputs'!$C$26)+('Year 1 Resp'!J20*'Burden Table Inputs'!$C$27)</f>
        <v>0</v>
      </c>
      <c r="L20" s="76">
        <f>(C20+D20)*E20*G20</f>
        <v>0</v>
      </c>
      <c r="M20" s="45">
        <f>E20*G20</f>
        <v>0</v>
      </c>
      <c r="N20" s="74"/>
    </row>
    <row r="21" spans="1:14">
      <c r="A21" s="51" t="s">
        <v>118</v>
      </c>
      <c r="B21" s="87"/>
      <c r="C21" s="76"/>
      <c r="D21" s="76"/>
      <c r="E21" s="57"/>
      <c r="F21" s="57"/>
      <c r="G21" s="57"/>
      <c r="H21" s="57"/>
      <c r="I21" s="57"/>
      <c r="J21" s="57"/>
      <c r="K21" s="76"/>
      <c r="L21" s="76"/>
      <c r="M21" s="45"/>
      <c r="N21" s="74"/>
    </row>
    <row r="22" spans="1:14">
      <c r="A22" s="51" t="s">
        <v>105</v>
      </c>
      <c r="B22" s="87">
        <v>2</v>
      </c>
      <c r="C22" s="76"/>
      <c r="D22" s="76">
        <v>20000</v>
      </c>
      <c r="E22" s="57">
        <v>1</v>
      </c>
      <c r="F22" s="57">
        <f t="shared" si="0"/>
        <v>2</v>
      </c>
      <c r="G22" s="57">
        <v>0</v>
      </c>
      <c r="H22" s="57">
        <f>F22*G22</f>
        <v>0</v>
      </c>
      <c r="I22" s="57">
        <f>0.5*G22</f>
        <v>0</v>
      </c>
      <c r="J22" s="57">
        <f>0.1*H22</f>
        <v>0</v>
      </c>
      <c r="K22" s="76">
        <f>(H22*'Burden Table Inputs'!$C$25)+('Year 1 Resp'!I22*'Burden Table Inputs'!$C$26)+('Year 1 Resp'!J22*'Burden Table Inputs'!$C$27)</f>
        <v>0</v>
      </c>
      <c r="L22" s="76">
        <f>(C22+D22)*E22*G22</f>
        <v>0</v>
      </c>
      <c r="M22" s="45">
        <f>E22*G22</f>
        <v>0</v>
      </c>
      <c r="N22" s="74"/>
    </row>
    <row r="23" spans="1:14">
      <c r="A23" s="51" t="s">
        <v>106</v>
      </c>
      <c r="B23" s="87">
        <v>2</v>
      </c>
      <c r="C23" s="76"/>
      <c r="D23" s="76">
        <v>6200</v>
      </c>
      <c r="E23" s="57">
        <v>1</v>
      </c>
      <c r="F23" s="57">
        <f t="shared" si="0"/>
        <v>2</v>
      </c>
      <c r="G23" s="57">
        <v>0</v>
      </c>
      <c r="H23" s="57">
        <f>F23*G23</f>
        <v>0</v>
      </c>
      <c r="I23" s="57">
        <f>0.5*G23</f>
        <v>0</v>
      </c>
      <c r="J23" s="57">
        <f>0.1*H23</f>
        <v>0</v>
      </c>
      <c r="K23" s="76">
        <f>(H23*'Burden Table Inputs'!$C$25)+('Year 1 Resp'!I23*'Burden Table Inputs'!$C$26)+('Year 1 Resp'!J23*'Burden Table Inputs'!$C$27)</f>
        <v>0</v>
      </c>
      <c r="L23" s="76">
        <f>(C23+D23)*E23*G23</f>
        <v>0</v>
      </c>
      <c r="M23" s="45">
        <f>E23*G23</f>
        <v>0</v>
      </c>
      <c r="N23" s="74"/>
    </row>
    <row r="24" spans="1:14">
      <c r="A24" s="51" t="s">
        <v>117</v>
      </c>
      <c r="B24" s="87"/>
      <c r="C24" s="76"/>
      <c r="D24" s="76"/>
      <c r="E24" s="57"/>
      <c r="F24" s="57"/>
      <c r="G24" s="57"/>
      <c r="H24" s="57"/>
      <c r="I24" s="57"/>
      <c r="J24" s="57"/>
      <c r="K24" s="76"/>
      <c r="L24" s="76"/>
      <c r="M24" s="45"/>
      <c r="N24" s="74"/>
    </row>
    <row r="25" spans="1:14">
      <c r="A25" s="51" t="s">
        <v>105</v>
      </c>
      <c r="B25" s="87">
        <v>4</v>
      </c>
      <c r="C25" s="76"/>
      <c r="D25" s="76">
        <f>130000+(45000*3)</f>
        <v>265000</v>
      </c>
      <c r="E25" s="57">
        <v>0.5</v>
      </c>
      <c r="F25" s="57">
        <f t="shared" si="0"/>
        <v>2</v>
      </c>
      <c r="G25" s="57">
        <v>0</v>
      </c>
      <c r="H25" s="57">
        <f>F25*G25</f>
        <v>0</v>
      </c>
      <c r="I25" s="57">
        <f>0.5*G25</f>
        <v>0</v>
      </c>
      <c r="J25" s="57">
        <f>0.1*H25</f>
        <v>0</v>
      </c>
      <c r="K25" s="76">
        <f>(H25*'Burden Table Inputs'!$C$25)+('Year 1 Resp'!I25*'Burden Table Inputs'!$C$26)+('Year 1 Resp'!J25*'Burden Table Inputs'!$C$27)</f>
        <v>0</v>
      </c>
      <c r="L25" s="76">
        <f>(C25+D25)*E25*G25</f>
        <v>0</v>
      </c>
      <c r="M25" s="45">
        <f>E25*G25</f>
        <v>0</v>
      </c>
      <c r="N25" s="74"/>
    </row>
    <row r="26" spans="1:14">
      <c r="A26" s="51" t="s">
        <v>106</v>
      </c>
      <c r="B26" s="87">
        <v>4</v>
      </c>
      <c r="C26" s="76"/>
      <c r="D26" s="76">
        <f>49000+45000</f>
        <v>94000</v>
      </c>
      <c r="E26" s="57">
        <v>0.5</v>
      </c>
      <c r="F26" s="57">
        <f t="shared" si="0"/>
        <v>2</v>
      </c>
      <c r="G26" s="57">
        <v>0</v>
      </c>
      <c r="H26" s="57">
        <f>F26*G26</f>
        <v>0</v>
      </c>
      <c r="I26" s="57">
        <f>0.5*G26</f>
        <v>0</v>
      </c>
      <c r="J26" s="57">
        <f>0.1*H26</f>
        <v>0</v>
      </c>
      <c r="K26" s="76">
        <f>(H26*'Burden Table Inputs'!$C$25)+('Year 1 Resp'!I26*'Burden Table Inputs'!$C$26)+('Year 1 Resp'!J26*'Burden Table Inputs'!$C$27)</f>
        <v>0</v>
      </c>
      <c r="L26" s="76">
        <f>(C26+D26)*E26*G26</f>
        <v>0</v>
      </c>
      <c r="M26" s="45">
        <f>E26*G26</f>
        <v>0</v>
      </c>
      <c r="N26" s="74"/>
    </row>
    <row r="27" spans="1:14">
      <c r="A27" s="51" t="s">
        <v>119</v>
      </c>
      <c r="B27" s="87"/>
      <c r="C27" s="76"/>
      <c r="D27" s="76"/>
      <c r="E27" s="57"/>
      <c r="F27" s="57"/>
      <c r="G27" s="57"/>
      <c r="H27" s="57"/>
      <c r="I27" s="57"/>
      <c r="J27" s="57"/>
      <c r="K27" s="76"/>
      <c r="L27" s="76"/>
      <c r="M27" s="45"/>
      <c r="N27" s="74"/>
    </row>
    <row r="28" spans="1:14">
      <c r="A28" s="51" t="s">
        <v>105</v>
      </c>
      <c r="B28" s="87">
        <v>2</v>
      </c>
      <c r="C28" s="76"/>
      <c r="D28" s="76">
        <v>2300</v>
      </c>
      <c r="E28" s="57">
        <v>2</v>
      </c>
      <c r="F28" s="57">
        <f t="shared" si="0"/>
        <v>4</v>
      </c>
      <c r="G28" s="57">
        <v>0</v>
      </c>
      <c r="H28" s="57">
        <f>F28*G28</f>
        <v>0</v>
      </c>
      <c r="I28" s="57">
        <f>0.5*G28</f>
        <v>0</v>
      </c>
      <c r="J28" s="57">
        <f>0.1*H28</f>
        <v>0</v>
      </c>
      <c r="K28" s="76">
        <f>(H28*'Burden Table Inputs'!$C$25)+('Year 1 Resp'!I28*'Burden Table Inputs'!$C$26)+('Year 1 Resp'!J28*'Burden Table Inputs'!$C$27)</f>
        <v>0</v>
      </c>
      <c r="L28" s="76">
        <f t="shared" ref="L28:L41" si="6">(C28+D28)*E28*G28</f>
        <v>0</v>
      </c>
      <c r="M28" s="45">
        <f>E28*G28</f>
        <v>0</v>
      </c>
      <c r="N28" s="74"/>
    </row>
    <row r="29" spans="1:14">
      <c r="A29" s="51" t="s">
        <v>106</v>
      </c>
      <c r="B29" s="87">
        <v>2</v>
      </c>
      <c r="C29" s="76"/>
      <c r="D29" s="76">
        <v>230</v>
      </c>
      <c r="E29" s="57">
        <v>2</v>
      </c>
      <c r="F29" s="57">
        <f t="shared" si="0"/>
        <v>4</v>
      </c>
      <c r="G29" s="57">
        <v>0</v>
      </c>
      <c r="H29" s="57">
        <f>F29*G29</f>
        <v>0</v>
      </c>
      <c r="I29" s="57">
        <f>0.5*G29</f>
        <v>0</v>
      </c>
      <c r="J29" s="57">
        <f>0.1*H29</f>
        <v>0</v>
      </c>
      <c r="K29" s="76">
        <f>(H29*'Burden Table Inputs'!$C$25)+('Year 1 Resp'!I29*'Burden Table Inputs'!$C$26)+('Year 1 Resp'!J29*'Burden Table Inputs'!$C$27)</f>
        <v>0</v>
      </c>
      <c r="L29" s="76">
        <f t="shared" si="6"/>
        <v>0</v>
      </c>
      <c r="M29" s="45">
        <f>E29*G29</f>
        <v>0</v>
      </c>
      <c r="N29" s="74"/>
    </row>
    <row r="30" spans="1:14">
      <c r="A30" s="45" t="s">
        <v>12</v>
      </c>
      <c r="B30" s="118" t="s">
        <v>137</v>
      </c>
      <c r="C30" s="120"/>
      <c r="D30" s="120"/>
      <c r="E30" s="57"/>
      <c r="F30" s="57"/>
      <c r="G30" s="57"/>
      <c r="H30" s="57"/>
      <c r="I30" s="57"/>
      <c r="J30" s="57"/>
      <c r="K30" s="98"/>
      <c r="L30" s="98">
        <f t="shared" si="6"/>
        <v>0</v>
      </c>
      <c r="M30" s="45"/>
      <c r="N30" s="74"/>
    </row>
    <row r="31" spans="1:14">
      <c r="A31" s="45" t="s">
        <v>13</v>
      </c>
      <c r="B31" s="118" t="s">
        <v>137</v>
      </c>
      <c r="C31" s="120"/>
      <c r="D31" s="120"/>
      <c r="E31" s="57"/>
      <c r="F31" s="57"/>
      <c r="G31" s="57"/>
      <c r="H31" s="57"/>
      <c r="I31" s="57"/>
      <c r="J31" s="57"/>
      <c r="K31" s="98"/>
      <c r="L31" s="98">
        <f t="shared" si="6"/>
        <v>0</v>
      </c>
      <c r="M31" s="45"/>
      <c r="N31" s="74"/>
    </row>
    <row r="32" spans="1:14">
      <c r="A32" s="45" t="s">
        <v>14</v>
      </c>
      <c r="B32" s="118"/>
      <c r="C32" s="120"/>
      <c r="D32" s="120"/>
      <c r="E32" s="57"/>
      <c r="F32" s="57"/>
      <c r="G32" s="57"/>
      <c r="H32" s="57"/>
      <c r="I32" s="57"/>
      <c r="J32" s="57"/>
      <c r="K32" s="98"/>
      <c r="L32" s="98">
        <f t="shared" si="6"/>
        <v>0</v>
      </c>
      <c r="M32" s="45"/>
      <c r="N32" s="74"/>
    </row>
    <row r="33" spans="1:14">
      <c r="A33" s="45" t="s">
        <v>147</v>
      </c>
      <c r="B33" s="118" t="s">
        <v>63</v>
      </c>
      <c r="C33" s="76"/>
      <c r="D33" s="76"/>
      <c r="E33" s="57"/>
      <c r="F33" s="57"/>
      <c r="G33" s="57"/>
      <c r="H33" s="57"/>
      <c r="I33" s="57"/>
      <c r="J33" s="57"/>
      <c r="K33" s="98"/>
      <c r="L33" s="98"/>
      <c r="M33" s="45"/>
      <c r="N33" s="74"/>
    </row>
    <row r="34" spans="1:14">
      <c r="A34" s="45" t="s">
        <v>146</v>
      </c>
      <c r="B34" s="87">
        <v>4</v>
      </c>
      <c r="C34" s="76"/>
      <c r="D34" s="76"/>
      <c r="E34" s="57">
        <v>1</v>
      </c>
      <c r="F34" s="57">
        <f t="shared" si="0"/>
        <v>4</v>
      </c>
      <c r="G34" s="57">
        <v>0</v>
      </c>
      <c r="H34" s="57">
        <f t="shared" ref="H34:H41" si="7">F34*G34</f>
        <v>0</v>
      </c>
      <c r="I34" s="57">
        <f t="shared" ref="I34:I41" si="8">0.5*G34</f>
        <v>0</v>
      </c>
      <c r="J34" s="57">
        <f t="shared" ref="J34:J41" si="9">0.1*H34</f>
        <v>0</v>
      </c>
      <c r="K34" s="98">
        <f>(H34*'Burden Table Inputs'!$C$25)+('Year 1 Resp'!I34*'Burden Table Inputs'!$C$26)+('Year 1 Resp'!J34*'Burden Table Inputs'!$C$27)</f>
        <v>0</v>
      </c>
      <c r="L34" s="98">
        <f t="shared" si="6"/>
        <v>0</v>
      </c>
      <c r="M34" s="45">
        <f t="shared" ref="M34:M41" si="10">E34*G34</f>
        <v>0</v>
      </c>
      <c r="N34" s="74"/>
    </row>
    <row r="35" spans="1:14">
      <c r="A35" s="45" t="s">
        <v>145</v>
      </c>
      <c r="B35" s="87">
        <v>10</v>
      </c>
      <c r="C35" s="76"/>
      <c r="D35" s="76"/>
      <c r="E35" s="57">
        <v>1</v>
      </c>
      <c r="F35" s="57">
        <f t="shared" si="0"/>
        <v>10</v>
      </c>
      <c r="G35" s="57">
        <v>0</v>
      </c>
      <c r="H35" s="57">
        <f t="shared" si="7"/>
        <v>0</v>
      </c>
      <c r="I35" s="57">
        <f t="shared" si="8"/>
        <v>0</v>
      </c>
      <c r="J35" s="57">
        <f t="shared" si="9"/>
        <v>0</v>
      </c>
      <c r="K35" s="98">
        <f>(H35*'Burden Table Inputs'!$C$25)+('Year 1 Resp'!I35*'Burden Table Inputs'!$C$26)+('Year 1 Resp'!J35*'Burden Table Inputs'!$C$27)</f>
        <v>0</v>
      </c>
      <c r="L35" s="98">
        <f t="shared" si="6"/>
        <v>0</v>
      </c>
      <c r="M35" s="45">
        <f t="shared" si="10"/>
        <v>0</v>
      </c>
      <c r="N35" s="74"/>
    </row>
    <row r="36" spans="1:14">
      <c r="A36" s="45" t="s">
        <v>144</v>
      </c>
      <c r="B36" s="87">
        <v>10</v>
      </c>
      <c r="C36" s="76"/>
      <c r="D36" s="76"/>
      <c r="E36" s="57">
        <v>1</v>
      </c>
      <c r="F36" s="57">
        <f t="shared" ref="F36:F41" si="11">B36*E36</f>
        <v>10</v>
      </c>
      <c r="G36" s="57">
        <v>0</v>
      </c>
      <c r="H36" s="57">
        <f t="shared" si="7"/>
        <v>0</v>
      </c>
      <c r="I36" s="57">
        <f t="shared" si="8"/>
        <v>0</v>
      </c>
      <c r="J36" s="57">
        <f t="shared" si="9"/>
        <v>0</v>
      </c>
      <c r="K36" s="98">
        <f>(H36*'Burden Table Inputs'!$C$25)+('Year 1 Resp'!I36*'Burden Table Inputs'!$C$26)+('Year 1 Resp'!J36*'Burden Table Inputs'!$C$27)</f>
        <v>0</v>
      </c>
      <c r="L36" s="98">
        <f t="shared" si="6"/>
        <v>0</v>
      </c>
      <c r="M36" s="45">
        <f t="shared" si="10"/>
        <v>0</v>
      </c>
      <c r="N36" s="74"/>
    </row>
    <row r="37" spans="1:14">
      <c r="A37" s="45" t="s">
        <v>140</v>
      </c>
      <c r="B37" s="87">
        <v>80</v>
      </c>
      <c r="C37" s="76"/>
      <c r="D37" s="76"/>
      <c r="E37" s="57">
        <v>1</v>
      </c>
      <c r="F37" s="57">
        <f t="shared" si="11"/>
        <v>80</v>
      </c>
      <c r="G37" s="57">
        <v>2</v>
      </c>
      <c r="H37" s="57">
        <f t="shared" si="7"/>
        <v>160</v>
      </c>
      <c r="I37" s="57">
        <f t="shared" si="8"/>
        <v>1</v>
      </c>
      <c r="J37" s="57">
        <f t="shared" si="9"/>
        <v>16</v>
      </c>
      <c r="K37" s="98">
        <f>(H37*'Burden Table Inputs'!$C$25)+('Year 1 Resp'!I37*'Burden Table Inputs'!$C$26)+('Year 1 Resp'!J37*'Burden Table Inputs'!$C$27)</f>
        <v>18636.84</v>
      </c>
      <c r="L37" s="98">
        <f t="shared" si="6"/>
        <v>0</v>
      </c>
      <c r="M37" s="45">
        <f t="shared" si="10"/>
        <v>2</v>
      </c>
      <c r="N37" s="74"/>
    </row>
    <row r="38" spans="1:14">
      <c r="A38" s="45" t="s">
        <v>141</v>
      </c>
      <c r="B38" s="87">
        <v>10</v>
      </c>
      <c r="C38" s="76"/>
      <c r="D38" s="76"/>
      <c r="E38" s="57">
        <v>1</v>
      </c>
      <c r="F38" s="57">
        <f t="shared" si="11"/>
        <v>10</v>
      </c>
      <c r="G38" s="57">
        <v>2</v>
      </c>
      <c r="H38" s="57">
        <f t="shared" si="7"/>
        <v>20</v>
      </c>
      <c r="I38" s="57">
        <f t="shared" si="8"/>
        <v>1</v>
      </c>
      <c r="J38" s="57">
        <f t="shared" si="9"/>
        <v>2</v>
      </c>
      <c r="K38" s="98">
        <f>(H38*'Burden Table Inputs'!$C$25)+('Year 1 Resp'!I38*'Burden Table Inputs'!$C$26)+('Year 1 Resp'!J38*'Burden Table Inputs'!$C$27)</f>
        <v>2445.14</v>
      </c>
      <c r="L38" s="98">
        <f t="shared" si="6"/>
        <v>0</v>
      </c>
      <c r="M38" s="45">
        <f t="shared" si="10"/>
        <v>2</v>
      </c>
      <c r="N38" s="74"/>
    </row>
    <row r="39" spans="1:14">
      <c r="A39" s="51" t="s">
        <v>142</v>
      </c>
      <c r="B39" s="87">
        <v>10</v>
      </c>
      <c r="C39" s="76"/>
      <c r="D39" s="76"/>
      <c r="E39" s="57">
        <v>1</v>
      </c>
      <c r="F39" s="57">
        <f t="shared" si="11"/>
        <v>10</v>
      </c>
      <c r="G39" s="57">
        <v>2</v>
      </c>
      <c r="H39" s="57">
        <f t="shared" si="7"/>
        <v>20</v>
      </c>
      <c r="I39" s="57">
        <f t="shared" si="8"/>
        <v>1</v>
      </c>
      <c r="J39" s="57">
        <f t="shared" si="9"/>
        <v>2</v>
      </c>
      <c r="K39" s="98">
        <f>(H39*'Burden Table Inputs'!$C$25)+('Year 1 Resp'!I39*'Burden Table Inputs'!$C$26)+('Year 1 Resp'!J39*'Burden Table Inputs'!$C$27)</f>
        <v>2445.14</v>
      </c>
      <c r="L39" s="98">
        <f t="shared" si="6"/>
        <v>0</v>
      </c>
      <c r="M39" s="45">
        <f t="shared" si="10"/>
        <v>2</v>
      </c>
      <c r="N39" s="74"/>
    </row>
    <row r="40" spans="1:14">
      <c r="A40" s="51" t="s">
        <v>143</v>
      </c>
      <c r="B40" s="87">
        <v>20</v>
      </c>
      <c r="C40" s="87"/>
      <c r="D40" s="87"/>
      <c r="E40" s="121">
        <v>1</v>
      </c>
      <c r="F40" s="45">
        <f t="shared" si="11"/>
        <v>20</v>
      </c>
      <c r="G40" s="121">
        <v>2</v>
      </c>
      <c r="H40" s="45">
        <f t="shared" si="7"/>
        <v>40</v>
      </c>
      <c r="I40" s="45">
        <f t="shared" si="8"/>
        <v>1</v>
      </c>
      <c r="J40" s="45">
        <f t="shared" si="9"/>
        <v>4</v>
      </c>
      <c r="K40" s="76">
        <f>(H40*'Burden Table Inputs'!$C$25)+('Year 1 Resp'!I40*'Burden Table Inputs'!$C$26)+('Year 1 Resp'!J40*'Burden Table Inputs'!$C$27)</f>
        <v>4758.24</v>
      </c>
      <c r="L40" s="76">
        <f t="shared" si="6"/>
        <v>0</v>
      </c>
      <c r="M40" s="45">
        <f t="shared" si="10"/>
        <v>2</v>
      </c>
      <c r="N40" s="74"/>
    </row>
    <row r="41" spans="1:14">
      <c r="A41" s="51" t="s">
        <v>154</v>
      </c>
      <c r="B41" s="87">
        <v>30</v>
      </c>
      <c r="C41" s="87"/>
      <c r="D41" s="87"/>
      <c r="E41" s="121">
        <v>1</v>
      </c>
      <c r="F41" s="121">
        <f t="shared" si="11"/>
        <v>30</v>
      </c>
      <c r="G41" s="121">
        <v>0</v>
      </c>
      <c r="H41" s="121">
        <f t="shared" si="7"/>
        <v>0</v>
      </c>
      <c r="I41" s="121">
        <f t="shared" si="8"/>
        <v>0</v>
      </c>
      <c r="J41" s="121">
        <f t="shared" si="9"/>
        <v>0</v>
      </c>
      <c r="K41" s="76">
        <f>(H41*'Burden Table Inputs'!$C$25)+('Year 1 Resp'!I41*'Burden Table Inputs'!$C$26)+('Year 1 Resp'!J41*'Burden Table Inputs'!$C$27)</f>
        <v>0</v>
      </c>
      <c r="L41" s="76">
        <f t="shared" si="6"/>
        <v>0</v>
      </c>
      <c r="M41" s="45">
        <f t="shared" si="10"/>
        <v>0</v>
      </c>
      <c r="N41" s="74"/>
    </row>
    <row r="42" spans="1:14">
      <c r="A42" s="122" t="s">
        <v>155</v>
      </c>
      <c r="B42" s="87"/>
      <c r="C42" s="87"/>
      <c r="D42" s="87"/>
      <c r="E42" s="121">
        <f t="shared" ref="E42:J42" si="12">SUM(E9:E41)</f>
        <v>762</v>
      </c>
      <c r="F42" s="121">
        <f t="shared" si="12"/>
        <v>628.25</v>
      </c>
      <c r="G42" s="121">
        <f t="shared" si="12"/>
        <v>10</v>
      </c>
      <c r="H42" s="121">
        <f t="shared" si="12"/>
        <v>280</v>
      </c>
      <c r="I42" s="45">
        <f t="shared" si="12"/>
        <v>4.4000000000000004</v>
      </c>
      <c r="J42" s="121">
        <f t="shared" si="12"/>
        <v>28</v>
      </c>
      <c r="K42" s="76">
        <f>(H42*'Burden Table Inputs'!$C$25)+('Year 1 Resp'!I42*'Burden Table Inputs'!$C$26)+('Year 1 Resp'!J42*'Burden Table Inputs'!$C$27)</f>
        <v>32964.376000000004</v>
      </c>
      <c r="L42" s="76">
        <f>SUM(L9:L41)</f>
        <v>0</v>
      </c>
      <c r="M42" s="45">
        <f>SUM(M9:M41)</f>
        <v>10</v>
      </c>
      <c r="N42" s="74"/>
    </row>
    <row r="43" spans="1:14">
      <c r="A43" s="45" t="s">
        <v>139</v>
      </c>
      <c r="B43" s="119"/>
      <c r="C43" s="123"/>
      <c r="D43" s="123"/>
      <c r="E43" s="75"/>
      <c r="F43" s="75"/>
      <c r="G43" s="75"/>
      <c r="H43" s="75"/>
      <c r="I43" s="75"/>
      <c r="J43" s="75"/>
      <c r="K43" s="99"/>
      <c r="L43" s="99"/>
      <c r="M43" s="99"/>
      <c r="N43" s="74"/>
    </row>
    <row r="44" spans="1:14">
      <c r="A44" s="45" t="s">
        <v>73</v>
      </c>
      <c r="B44" s="118" t="s">
        <v>148</v>
      </c>
      <c r="C44" s="120"/>
      <c r="D44" s="120"/>
      <c r="E44" s="57"/>
      <c r="F44" s="57"/>
      <c r="G44" s="57"/>
      <c r="H44" s="57"/>
      <c r="I44" s="57"/>
      <c r="J44" s="57"/>
      <c r="K44" s="98"/>
      <c r="L44" s="98">
        <f t="shared" ref="L44:L50" si="13">((C44+D44)*E44*G44)</f>
        <v>0</v>
      </c>
      <c r="M44" s="45">
        <v>0</v>
      </c>
      <c r="N44" s="74"/>
    </row>
    <row r="45" spans="1:14">
      <c r="A45" s="45" t="s">
        <v>150</v>
      </c>
      <c r="B45" s="118" t="s">
        <v>63</v>
      </c>
      <c r="C45" s="120"/>
      <c r="D45" s="120"/>
      <c r="E45" s="57"/>
      <c r="F45" s="57"/>
      <c r="G45" s="57"/>
      <c r="H45" s="57"/>
      <c r="I45" s="57"/>
      <c r="J45" s="57"/>
      <c r="K45" s="98"/>
      <c r="L45" s="98">
        <f t="shared" si="13"/>
        <v>0</v>
      </c>
      <c r="M45" s="45">
        <v>0</v>
      </c>
      <c r="N45" s="74"/>
    </row>
    <row r="46" spans="1:14">
      <c r="A46" s="45" t="s">
        <v>151</v>
      </c>
      <c r="B46" s="118" t="s">
        <v>63</v>
      </c>
      <c r="C46" s="120"/>
      <c r="D46" s="120"/>
      <c r="E46" s="57"/>
      <c r="F46" s="57"/>
      <c r="G46" s="57"/>
      <c r="H46" s="57"/>
      <c r="I46" s="57"/>
      <c r="J46" s="57"/>
      <c r="K46" s="98"/>
      <c r="L46" s="98">
        <f t="shared" si="13"/>
        <v>0</v>
      </c>
      <c r="M46" s="45">
        <v>0</v>
      </c>
      <c r="N46" s="74"/>
    </row>
    <row r="47" spans="1:14">
      <c r="A47" s="45" t="s">
        <v>152</v>
      </c>
      <c r="B47" s="119"/>
      <c r="C47" s="123"/>
      <c r="D47" s="123"/>
      <c r="E47" s="75"/>
      <c r="F47" s="75"/>
      <c r="G47" s="75"/>
      <c r="H47" s="75"/>
      <c r="I47" s="75"/>
      <c r="J47" s="75"/>
      <c r="K47" s="99"/>
      <c r="L47" s="99"/>
      <c r="M47" s="99"/>
      <c r="N47" s="74"/>
    </row>
    <row r="48" spans="1:14">
      <c r="A48" s="45" t="s">
        <v>153</v>
      </c>
      <c r="B48" s="87">
        <v>1</v>
      </c>
      <c r="C48" s="76"/>
      <c r="D48" s="76"/>
      <c r="E48" s="57">
        <f>5*12</f>
        <v>60</v>
      </c>
      <c r="F48" s="57">
        <f t="shared" si="0"/>
        <v>60</v>
      </c>
      <c r="G48" s="57">
        <v>0</v>
      </c>
      <c r="H48" s="57">
        <f>F48*G48</f>
        <v>0</v>
      </c>
      <c r="I48" s="57">
        <f>0.5*G48</f>
        <v>0</v>
      </c>
      <c r="J48" s="57">
        <f>0.1*H48</f>
        <v>0</v>
      </c>
      <c r="K48" s="98">
        <f>(H48*'Burden Table Inputs'!$C$25)+('Year 1 Resp'!I48*'Burden Table Inputs'!$C$26)+('Year 1 Resp'!J48*'Burden Table Inputs'!$C$27)</f>
        <v>0</v>
      </c>
      <c r="L48" s="98">
        <f t="shared" si="13"/>
        <v>0</v>
      </c>
      <c r="M48" s="45">
        <v>0</v>
      </c>
      <c r="N48" s="74"/>
    </row>
    <row r="49" spans="1:18">
      <c r="A49" s="51" t="s">
        <v>75</v>
      </c>
      <c r="B49" s="139">
        <v>20</v>
      </c>
      <c r="C49" s="120"/>
      <c r="D49" s="120"/>
      <c r="E49" s="57">
        <v>1</v>
      </c>
      <c r="F49" s="57">
        <f t="shared" si="0"/>
        <v>20</v>
      </c>
      <c r="G49" s="57">
        <v>2</v>
      </c>
      <c r="H49" s="57">
        <f>F49*G49</f>
        <v>40</v>
      </c>
      <c r="I49" s="57">
        <f>0.5*G49</f>
        <v>1</v>
      </c>
      <c r="J49" s="57">
        <f>0.1*H49</f>
        <v>4</v>
      </c>
      <c r="K49" s="98">
        <f>(H49*'Burden Table Inputs'!$C$25)+('Year 1 Resp'!I49*'Burden Table Inputs'!$C$26)+('Year 1 Resp'!J49*'Burden Table Inputs'!$C$27)</f>
        <v>4758.24</v>
      </c>
      <c r="L49" s="98">
        <f t="shared" si="13"/>
        <v>0</v>
      </c>
      <c r="M49" s="45">
        <v>0</v>
      </c>
      <c r="N49" s="74"/>
    </row>
    <row r="50" spans="1:18">
      <c r="A50" s="53" t="s">
        <v>158</v>
      </c>
      <c r="B50" s="109" t="s">
        <v>63</v>
      </c>
      <c r="C50" s="148"/>
      <c r="D50" s="148"/>
      <c r="E50" s="73"/>
      <c r="F50" s="73"/>
      <c r="G50" s="73"/>
      <c r="H50" s="73"/>
      <c r="I50" s="73">
        <f>0.5*G50</f>
        <v>0</v>
      </c>
      <c r="J50" s="73">
        <f>0.1*H50</f>
        <v>0</v>
      </c>
      <c r="K50" s="149">
        <f>(H50*'Burden Table Inputs'!$C$25)+('Year 1 Resp'!I50*'Burden Table Inputs'!$C$26)+('Year 1 Resp'!J50*'Burden Table Inputs'!$C$27)</f>
        <v>0</v>
      </c>
      <c r="L50" s="149">
        <f t="shared" si="13"/>
        <v>0</v>
      </c>
      <c r="M50" s="53">
        <v>0</v>
      </c>
      <c r="N50" s="74"/>
    </row>
    <row r="51" spans="1:18" ht="13.5" thickBot="1">
      <c r="A51" s="150" t="s">
        <v>156</v>
      </c>
      <c r="B51" s="124"/>
      <c r="C51" s="125"/>
      <c r="D51" s="125"/>
      <c r="E51" s="78">
        <f>SUM(E48:E50)</f>
        <v>61</v>
      </c>
      <c r="F51" s="78">
        <f>SUM(F48:F50)</f>
        <v>80</v>
      </c>
      <c r="G51" s="78">
        <f>SUM(G48:G50)</f>
        <v>2</v>
      </c>
      <c r="H51" s="78">
        <f t="shared" ref="H51:M51" si="14">SUM(H48:H50)</f>
        <v>40</v>
      </c>
      <c r="I51" s="78">
        <f t="shared" si="14"/>
        <v>1</v>
      </c>
      <c r="J51" s="78">
        <f t="shared" si="14"/>
        <v>4</v>
      </c>
      <c r="K51" s="100">
        <f t="shared" si="14"/>
        <v>4758.24</v>
      </c>
      <c r="L51" s="100">
        <f t="shared" si="14"/>
        <v>0</v>
      </c>
      <c r="M51" s="151">
        <f t="shared" si="14"/>
        <v>0</v>
      </c>
      <c r="N51" s="74"/>
    </row>
    <row r="52" spans="1:18" ht="13.5" thickBot="1">
      <c r="A52" s="127" t="s">
        <v>159</v>
      </c>
      <c r="B52" s="135"/>
      <c r="C52" s="135"/>
      <c r="D52" s="135"/>
      <c r="E52" s="137">
        <f>E42+E51</f>
        <v>823</v>
      </c>
      <c r="F52" s="136">
        <f>F42+F51</f>
        <v>708.25</v>
      </c>
      <c r="G52" s="136">
        <f>G42+G51</f>
        <v>12</v>
      </c>
      <c r="H52" s="136">
        <f t="shared" ref="H52:M52" si="15">H42+H51</f>
        <v>320</v>
      </c>
      <c r="I52" s="137">
        <f t="shared" si="15"/>
        <v>5.4</v>
      </c>
      <c r="J52" s="137">
        <f t="shared" si="15"/>
        <v>32</v>
      </c>
      <c r="K52" s="132">
        <f t="shared" si="15"/>
        <v>37722.616000000002</v>
      </c>
      <c r="L52" s="133">
        <f t="shared" si="15"/>
        <v>0</v>
      </c>
      <c r="M52" s="138">
        <f t="shared" si="15"/>
        <v>10</v>
      </c>
      <c r="N52" s="74"/>
    </row>
    <row r="53" spans="1:18">
      <c r="A53" s="126"/>
      <c r="B53" s="88"/>
      <c r="C53" s="88"/>
      <c r="D53" s="88"/>
      <c r="E53" s="79"/>
      <c r="F53" s="79"/>
      <c r="G53" s="80" t="s">
        <v>84</v>
      </c>
      <c r="H53" s="141" t="s">
        <v>160</v>
      </c>
      <c r="I53" s="141" t="s">
        <v>165</v>
      </c>
      <c r="J53" s="141" t="s">
        <v>161</v>
      </c>
      <c r="K53" s="142" t="s">
        <v>28</v>
      </c>
      <c r="L53" s="95"/>
      <c r="N53" s="74"/>
    </row>
    <row r="54" spans="1:18">
      <c r="A54" s="45"/>
      <c r="B54" s="89"/>
      <c r="C54" s="89"/>
      <c r="D54" s="89"/>
      <c r="E54" s="81" t="s">
        <v>162</v>
      </c>
      <c r="F54" s="81"/>
      <c r="G54" s="82"/>
      <c r="H54" s="143">
        <f>H52+I52+J52</f>
        <v>357.4</v>
      </c>
      <c r="I54" s="144">
        <f>K52</f>
        <v>37722.616000000002</v>
      </c>
      <c r="J54" s="144">
        <f>L52</f>
        <v>0</v>
      </c>
      <c r="K54" s="50">
        <f>I54+J54</f>
        <v>37722.616000000002</v>
      </c>
      <c r="L54" s="74"/>
      <c r="N54" s="74"/>
    </row>
    <row r="55" spans="1:18">
      <c r="A55" s="45"/>
      <c r="B55" s="101"/>
      <c r="C55" s="94"/>
      <c r="D55" s="94"/>
      <c r="E55" s="81" t="s">
        <v>163</v>
      </c>
      <c r="F55" s="81"/>
      <c r="G55" s="82"/>
      <c r="H55" s="143"/>
      <c r="I55" s="143"/>
      <c r="J55" s="144">
        <f>L19+L22+L25+L28</f>
        <v>0</v>
      </c>
      <c r="K55" s="145"/>
      <c r="L55" s="96"/>
      <c r="N55" s="74"/>
    </row>
    <row r="56" spans="1:18">
      <c r="A56" s="51"/>
      <c r="B56" s="89"/>
      <c r="C56" s="88"/>
      <c r="D56" s="88"/>
      <c r="E56" s="81" t="s">
        <v>164</v>
      </c>
      <c r="F56" s="81"/>
      <c r="G56" s="82"/>
      <c r="H56" s="143"/>
      <c r="I56" s="143"/>
      <c r="J56" s="144">
        <f>L52</f>
        <v>0</v>
      </c>
      <c r="K56" s="145"/>
      <c r="L56" s="96"/>
      <c r="N56" s="74"/>
      <c r="R56" s="49"/>
    </row>
    <row r="57" spans="1:18">
      <c r="A57" s="12" t="s">
        <v>16</v>
      </c>
      <c r="B57" s="85"/>
      <c r="C57" s="85"/>
      <c r="D57" s="85"/>
      <c r="E57" s="52"/>
      <c r="F57" s="83"/>
      <c r="G57" s="52"/>
      <c r="H57" s="52"/>
      <c r="I57" s="52"/>
      <c r="J57" s="52"/>
      <c r="K57" s="52"/>
      <c r="L57" s="52"/>
      <c r="M57" s="74"/>
      <c r="N57" s="74"/>
    </row>
    <row r="58" spans="1:18">
      <c r="A58" s="91" t="s">
        <v>157</v>
      </c>
      <c r="N58" s="74"/>
    </row>
    <row r="59" spans="1:18">
      <c r="A59" s="91" t="s">
        <v>127</v>
      </c>
      <c r="N59" s="74"/>
    </row>
    <row r="60" spans="1:18">
      <c r="A60" s="91" t="s">
        <v>212</v>
      </c>
      <c r="N60" s="74"/>
    </row>
    <row r="61" spans="1:18">
      <c r="A61" s="91" t="s">
        <v>138</v>
      </c>
      <c r="N61" s="74"/>
    </row>
    <row r="62" spans="1:18">
      <c r="A62" s="91" t="s">
        <v>96</v>
      </c>
      <c r="N62" s="74"/>
    </row>
    <row r="63" spans="1:18">
      <c r="A63" s="91" t="s">
        <v>149</v>
      </c>
      <c r="N63" s="74"/>
    </row>
    <row r="64" spans="1:18">
      <c r="A64" s="91" t="s">
        <v>198</v>
      </c>
      <c r="N64" s="74"/>
    </row>
    <row r="65" spans="1:14">
      <c r="A65" s="91" t="s">
        <v>199</v>
      </c>
      <c r="N65" s="74"/>
    </row>
    <row r="66" spans="1:14">
      <c r="A66" s="91" t="s">
        <v>76</v>
      </c>
      <c r="N66" s="74"/>
    </row>
    <row r="67" spans="1:14">
      <c r="A67" s="61"/>
      <c r="N67" s="74"/>
    </row>
    <row r="68" spans="1:14">
      <c r="A68" s="61"/>
      <c r="N68" s="74"/>
    </row>
    <row r="69" spans="1:14">
      <c r="N69" s="74"/>
    </row>
    <row r="70" spans="1:14">
      <c r="M70" s="84"/>
      <c r="N70" s="74"/>
    </row>
    <row r="84" spans="14:14">
      <c r="N84" s="84"/>
    </row>
  </sheetData>
  <mergeCells count="1">
    <mergeCell ref="A1:M1"/>
  </mergeCells>
  <phoneticPr fontId="0" type="noConversion"/>
  <pageMargins left="1" right="0.5" top="1" bottom="1" header="0.5" footer="0.5"/>
  <pageSetup scale="47" orientation="landscape" r:id="rId1"/>
  <headerFooter alignWithMargins="0">
    <oddFooter>&amp;LF:\Refracto\Reg-Preamble\&amp;F&amp;C&amp;A&amp;R&amp;D</oddFooter>
  </headerFooter>
  <ignoredErrors>
    <ignoredError sqref="K42:L4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5"/>
  <sheetViews>
    <sheetView showGridLines="0" zoomScaleNormal="100" workbookViewId="0">
      <pane xSplit="1" ySplit="5" topLeftCell="J27" activePane="bottomRight" state="frozen"/>
      <selection pane="topRight" activeCell="B1" sqref="B1"/>
      <selection pane="bottomLeft" activeCell="A8" sqref="A8"/>
      <selection pane="bottomRight" activeCell="D23" sqref="D23"/>
    </sheetView>
  </sheetViews>
  <sheetFormatPr defaultRowHeight="12.75"/>
  <cols>
    <col min="1" max="1" width="72.7109375" style="12" customWidth="1"/>
    <col min="2" max="4" width="11.7109375" style="90" customWidth="1"/>
    <col min="5" max="13" width="11.7109375" style="12" customWidth="1"/>
    <col min="14" max="14" width="3.28515625" style="12" customWidth="1"/>
    <col min="15" max="16384" width="9.140625" style="12"/>
  </cols>
  <sheetData>
    <row r="1" spans="1:18">
      <c r="A1" s="164" t="s">
        <v>203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8">
      <c r="A2" s="92"/>
      <c r="B2" s="85"/>
      <c r="C2" s="85"/>
      <c r="D2" s="85"/>
      <c r="M2" s="97"/>
    </row>
    <row r="3" spans="1:18">
      <c r="A3" s="53"/>
      <c r="B3" s="109" t="s">
        <v>0</v>
      </c>
      <c r="C3" s="109" t="s">
        <v>17</v>
      </c>
      <c r="D3" s="109" t="s">
        <v>100</v>
      </c>
      <c r="E3" s="69" t="s">
        <v>3</v>
      </c>
      <c r="F3" s="69" t="s">
        <v>128</v>
      </c>
      <c r="G3" s="69" t="s">
        <v>5</v>
      </c>
      <c r="H3" s="69" t="s">
        <v>6</v>
      </c>
      <c r="I3" s="69" t="s">
        <v>8</v>
      </c>
      <c r="J3" s="69" t="s">
        <v>120</v>
      </c>
      <c r="K3" s="69" t="s">
        <v>121</v>
      </c>
      <c r="L3" s="69" t="s">
        <v>122</v>
      </c>
      <c r="M3" s="110" t="s">
        <v>123</v>
      </c>
      <c r="N3" s="70"/>
    </row>
    <row r="4" spans="1:18" ht="63.75">
      <c r="A4" s="71"/>
      <c r="B4" s="111" t="s">
        <v>166</v>
      </c>
      <c r="C4" s="111" t="s">
        <v>167</v>
      </c>
      <c r="D4" s="111" t="s">
        <v>168</v>
      </c>
      <c r="E4" s="108" t="s">
        <v>169</v>
      </c>
      <c r="F4" s="108" t="s">
        <v>170</v>
      </c>
      <c r="G4" s="108" t="s">
        <v>171</v>
      </c>
      <c r="H4" s="108" t="s">
        <v>172</v>
      </c>
      <c r="I4" s="108" t="s">
        <v>173</v>
      </c>
      <c r="J4" s="108" t="s">
        <v>174</v>
      </c>
      <c r="K4" s="108" t="s">
        <v>175</v>
      </c>
      <c r="L4" s="108" t="s">
        <v>176</v>
      </c>
      <c r="M4" s="112" t="s">
        <v>177</v>
      </c>
      <c r="N4" s="70"/>
    </row>
    <row r="5" spans="1:18" ht="13.5" thickBot="1">
      <c r="A5" s="72"/>
      <c r="B5" s="86"/>
      <c r="C5" s="86"/>
      <c r="D5" s="86"/>
      <c r="E5" s="58"/>
      <c r="F5" s="58" t="s">
        <v>130</v>
      </c>
      <c r="G5" s="58"/>
      <c r="H5" s="58" t="s">
        <v>131</v>
      </c>
      <c r="I5" s="58" t="s">
        <v>132</v>
      </c>
      <c r="J5" s="58" t="s">
        <v>133</v>
      </c>
      <c r="K5" s="58"/>
      <c r="L5" s="58" t="s">
        <v>124</v>
      </c>
      <c r="M5" s="113" t="s">
        <v>125</v>
      </c>
      <c r="N5" s="70"/>
    </row>
    <row r="6" spans="1:18">
      <c r="A6" s="114" t="s">
        <v>9</v>
      </c>
      <c r="B6" s="115" t="s">
        <v>63</v>
      </c>
      <c r="C6" s="115"/>
      <c r="D6" s="115"/>
      <c r="E6" s="116"/>
      <c r="F6" s="116"/>
      <c r="G6" s="116"/>
      <c r="H6" s="116"/>
      <c r="I6" s="116"/>
      <c r="J6" s="116"/>
      <c r="K6" s="114"/>
      <c r="L6" s="117"/>
      <c r="M6" s="114"/>
      <c r="N6" s="52"/>
    </row>
    <row r="7" spans="1:18">
      <c r="A7" s="45" t="s">
        <v>10</v>
      </c>
      <c r="B7" s="118" t="s">
        <v>63</v>
      </c>
      <c r="C7" s="118"/>
      <c r="D7" s="118"/>
      <c r="E7" s="57"/>
      <c r="F7" s="57"/>
      <c r="G7" s="57"/>
      <c r="H7" s="57"/>
      <c r="I7" s="57"/>
      <c r="J7" s="57"/>
      <c r="K7" s="45"/>
      <c r="L7" s="76"/>
      <c r="M7" s="45"/>
      <c r="N7" s="52"/>
    </row>
    <row r="8" spans="1:18">
      <c r="A8" s="45" t="s">
        <v>126</v>
      </c>
      <c r="B8" s="87"/>
      <c r="C8" s="87"/>
      <c r="D8" s="87"/>
      <c r="E8" s="57"/>
      <c r="F8" s="57"/>
      <c r="G8" s="57"/>
      <c r="H8" s="57"/>
      <c r="I8" s="57"/>
      <c r="J8" s="57"/>
      <c r="K8" s="50"/>
      <c r="L8" s="98"/>
      <c r="M8" s="45"/>
      <c r="N8" s="74"/>
    </row>
    <row r="9" spans="1:18">
      <c r="A9" s="45" t="s">
        <v>95</v>
      </c>
      <c r="B9" s="87">
        <v>20</v>
      </c>
      <c r="C9" s="87"/>
      <c r="D9" s="87"/>
      <c r="E9" s="57">
        <v>1</v>
      </c>
      <c r="F9" s="57">
        <f>B9*E9</f>
        <v>20</v>
      </c>
      <c r="G9" s="57">
        <v>0</v>
      </c>
      <c r="H9" s="57">
        <f>F9*G9</f>
        <v>0</v>
      </c>
      <c r="I9" s="57">
        <f>0.2*G9</f>
        <v>0</v>
      </c>
      <c r="J9" s="57">
        <f>0.1*H9</f>
        <v>0</v>
      </c>
      <c r="K9" s="98">
        <f>(H9*'Burden Table Inputs'!$C$25)+(I9*'Burden Table Inputs'!$C$26)+(J9*'Burden Table Inputs'!$C$27)</f>
        <v>0</v>
      </c>
      <c r="L9" s="98">
        <f>((C9+D9)*E9*G9)</f>
        <v>0</v>
      </c>
      <c r="M9" s="45">
        <v>0</v>
      </c>
      <c r="N9" s="74"/>
      <c r="R9" s="49"/>
    </row>
    <row r="10" spans="1:18">
      <c r="A10" s="45" t="s">
        <v>11</v>
      </c>
      <c r="B10" s="119"/>
      <c r="C10" s="119"/>
      <c r="D10" s="119"/>
      <c r="E10" s="75"/>
      <c r="F10" s="75"/>
      <c r="G10" s="75"/>
      <c r="H10" s="75"/>
      <c r="I10" s="75"/>
      <c r="J10" s="75"/>
      <c r="K10" s="99"/>
      <c r="L10" s="99"/>
      <c r="M10" s="99"/>
      <c r="N10" s="74"/>
    </row>
    <row r="11" spans="1:18">
      <c r="A11" s="45" t="s">
        <v>214</v>
      </c>
      <c r="B11" s="87">
        <v>15</v>
      </c>
      <c r="C11" s="76">
        <f>+'Year 1 Resp'!C11</f>
        <v>200000</v>
      </c>
      <c r="D11" s="87"/>
      <c r="E11" s="57">
        <v>3</v>
      </c>
      <c r="F11" s="57">
        <f t="shared" ref="F11:F49" si="0">B11*E11</f>
        <v>45</v>
      </c>
      <c r="G11" s="57">
        <v>1</v>
      </c>
      <c r="H11" s="57">
        <f t="shared" ref="H11:H49" si="1">F11*G11</f>
        <v>45</v>
      </c>
      <c r="I11" s="57">
        <f>0.5*G11</f>
        <v>0.5</v>
      </c>
      <c r="J11" s="57">
        <f t="shared" ref="J11:J50" si="2">0.1*H11</f>
        <v>4.5</v>
      </c>
      <c r="K11" s="98">
        <f>(H11*'Burden Table Inputs'!$C$25)+(I11*'Burden Table Inputs'!$C$26)+(J11*'Burden Table Inputs'!$C$27)</f>
        <v>5270.4950000000008</v>
      </c>
      <c r="L11" s="98">
        <f>((C11+D11)*E11*G11)</f>
        <v>600000</v>
      </c>
      <c r="M11" s="45">
        <f>E11*G11</f>
        <v>3</v>
      </c>
      <c r="N11" s="74"/>
    </row>
    <row r="12" spans="1:18">
      <c r="A12" s="45" t="s">
        <v>215</v>
      </c>
      <c r="B12" s="87">
        <v>15</v>
      </c>
      <c r="C12" s="76">
        <v>52000</v>
      </c>
      <c r="D12" s="76"/>
      <c r="E12" s="57">
        <v>2</v>
      </c>
      <c r="F12" s="57">
        <f t="shared" si="0"/>
        <v>30</v>
      </c>
      <c r="G12" s="57">
        <v>1</v>
      </c>
      <c r="H12" s="57">
        <f t="shared" si="1"/>
        <v>30</v>
      </c>
      <c r="I12" s="57">
        <f t="shared" ref="I12:I50" si="3">0.5*G12</f>
        <v>0.5</v>
      </c>
      <c r="J12" s="57">
        <f t="shared" si="2"/>
        <v>3</v>
      </c>
      <c r="K12" s="98">
        <f>(H12*'Burden Table Inputs'!$C$25)+(I12*'Burden Table Inputs'!$C$26)+(J12*'Burden Table Inputs'!$C$27)</f>
        <v>3535.67</v>
      </c>
      <c r="L12" s="98">
        <f>((C12+D12)*E12*G12)</f>
        <v>104000</v>
      </c>
      <c r="M12" s="45">
        <f>E12*G12</f>
        <v>2</v>
      </c>
      <c r="N12" s="74"/>
    </row>
    <row r="13" spans="1:18">
      <c r="A13" s="45" t="s">
        <v>129</v>
      </c>
      <c r="B13" s="87">
        <v>20</v>
      </c>
      <c r="C13" s="76">
        <v>10000</v>
      </c>
      <c r="D13" s="76"/>
      <c r="E13" s="57">
        <v>4.5</v>
      </c>
      <c r="F13" s="57">
        <f t="shared" si="0"/>
        <v>90</v>
      </c>
      <c r="G13" s="57">
        <v>2</v>
      </c>
      <c r="H13" s="57">
        <f t="shared" si="1"/>
        <v>180</v>
      </c>
      <c r="I13" s="57">
        <f t="shared" si="3"/>
        <v>1</v>
      </c>
      <c r="J13" s="57">
        <f t="shared" si="2"/>
        <v>18</v>
      </c>
      <c r="K13" s="98">
        <f>(H13*'Burden Table Inputs'!$C$25)+(I13*'Burden Table Inputs'!$C$26)+(J13*'Burden Table Inputs'!$C$27)</f>
        <v>20949.940000000002</v>
      </c>
      <c r="L13" s="98">
        <f t="shared" ref="L13:L50" si="4">((C13+D13)*E13*G13)</f>
        <v>90000</v>
      </c>
      <c r="M13" s="45">
        <f>E13*G13</f>
        <v>9</v>
      </c>
      <c r="N13" s="74"/>
    </row>
    <row r="14" spans="1:18">
      <c r="A14" s="45" t="s">
        <v>136</v>
      </c>
      <c r="B14" s="87">
        <v>4</v>
      </c>
      <c r="C14" s="76">
        <v>2000</v>
      </c>
      <c r="D14" s="76"/>
      <c r="E14" s="57">
        <v>1.5</v>
      </c>
      <c r="F14" s="57">
        <f t="shared" si="0"/>
        <v>6</v>
      </c>
      <c r="G14" s="57">
        <v>2</v>
      </c>
      <c r="H14" s="57">
        <f t="shared" si="1"/>
        <v>12</v>
      </c>
      <c r="I14" s="57">
        <f t="shared" si="3"/>
        <v>1</v>
      </c>
      <c r="J14" s="57">
        <f t="shared" si="2"/>
        <v>1.2000000000000002</v>
      </c>
      <c r="K14" s="98">
        <f>(H14*'Burden Table Inputs'!$C$25)+(I14*'Burden Table Inputs'!$C$26)+(J14*'Burden Table Inputs'!$C$27)</f>
        <v>1519.8999999999999</v>
      </c>
      <c r="L14" s="98">
        <f t="shared" si="4"/>
        <v>6000</v>
      </c>
      <c r="M14" s="45">
        <f>E14*G14</f>
        <v>3</v>
      </c>
      <c r="N14" s="74"/>
      <c r="P14" s="46"/>
    </row>
    <row r="15" spans="1:18">
      <c r="A15" s="45" t="s">
        <v>101</v>
      </c>
      <c r="B15" s="87">
        <v>2</v>
      </c>
      <c r="C15" s="76"/>
      <c r="D15" s="76">
        <v>200</v>
      </c>
      <c r="E15" s="57">
        <v>3</v>
      </c>
      <c r="F15" s="57">
        <f t="shared" si="0"/>
        <v>6</v>
      </c>
      <c r="G15" s="57">
        <v>2</v>
      </c>
      <c r="H15" s="57">
        <f t="shared" si="1"/>
        <v>12</v>
      </c>
      <c r="I15" s="57">
        <f t="shared" si="3"/>
        <v>1</v>
      </c>
      <c r="J15" s="57">
        <f t="shared" si="2"/>
        <v>1.2000000000000002</v>
      </c>
      <c r="K15" s="98">
        <f>(H15*'Burden Table Inputs'!$C$25)+(I15*'Burden Table Inputs'!$C$26)+(J15*'Burden Table Inputs'!$C$27)</f>
        <v>1519.8999999999999</v>
      </c>
      <c r="L15" s="98">
        <f t="shared" si="4"/>
        <v>1200</v>
      </c>
      <c r="M15" s="45">
        <v>0</v>
      </c>
      <c r="N15" s="74"/>
    </row>
    <row r="16" spans="1:18">
      <c r="A16" s="45" t="s">
        <v>102</v>
      </c>
      <c r="B16" s="87">
        <v>0.25</v>
      </c>
      <c r="C16" s="76"/>
      <c r="D16" s="76"/>
      <c r="E16" s="57">
        <v>365</v>
      </c>
      <c r="F16" s="57">
        <f t="shared" si="0"/>
        <v>91.25</v>
      </c>
      <c r="G16" s="57">
        <v>1</v>
      </c>
      <c r="H16" s="57">
        <f t="shared" si="1"/>
        <v>91.25</v>
      </c>
      <c r="I16" s="57">
        <f t="shared" si="3"/>
        <v>0.5</v>
      </c>
      <c r="J16" s="57">
        <f t="shared" si="2"/>
        <v>9.125</v>
      </c>
      <c r="K16" s="98">
        <f>(H16*'Burden Table Inputs'!$C$28)+(I16*'Burden Table Inputs'!$C$26)+(J16*'Burden Table Inputs'!$C$27)</f>
        <v>6268.7387500000004</v>
      </c>
      <c r="L16" s="98">
        <f t="shared" si="4"/>
        <v>0</v>
      </c>
      <c r="M16" s="45">
        <v>0</v>
      </c>
      <c r="N16" s="74"/>
    </row>
    <row r="17" spans="1:14">
      <c r="A17" s="45" t="s">
        <v>103</v>
      </c>
      <c r="B17" s="87">
        <v>0.4</v>
      </c>
      <c r="C17" s="76"/>
      <c r="D17" s="76"/>
      <c r="E17" s="57">
        <v>365</v>
      </c>
      <c r="F17" s="57">
        <f t="shared" si="0"/>
        <v>146</v>
      </c>
      <c r="G17" s="57">
        <v>1</v>
      </c>
      <c r="H17" s="57">
        <f t="shared" si="1"/>
        <v>146</v>
      </c>
      <c r="I17" s="57">
        <f t="shared" si="3"/>
        <v>0.5</v>
      </c>
      <c r="J17" s="57">
        <f t="shared" si="2"/>
        <v>14.600000000000001</v>
      </c>
      <c r="K17" s="98">
        <f>(H17*'Burden Table Inputs'!$C$85)+(I17*'Burden Table Inputs'!$C$26)+(J17*'Burden Table Inputs'!$C$27)</f>
        <v>675.57</v>
      </c>
      <c r="L17" s="98">
        <f t="shared" si="4"/>
        <v>0</v>
      </c>
      <c r="M17" s="45">
        <v>0</v>
      </c>
      <c r="N17" s="74"/>
    </row>
    <row r="18" spans="1:14">
      <c r="A18" s="51" t="s">
        <v>104</v>
      </c>
      <c r="B18" s="87"/>
      <c r="C18" s="76"/>
      <c r="D18" s="76"/>
      <c r="E18" s="57"/>
      <c r="F18" s="57"/>
      <c r="G18" s="57"/>
      <c r="H18" s="57"/>
      <c r="I18" s="57"/>
      <c r="J18" s="57"/>
      <c r="K18" s="76"/>
      <c r="L18" s="76"/>
      <c r="M18" s="45"/>
      <c r="N18" s="74"/>
    </row>
    <row r="19" spans="1:14">
      <c r="A19" s="51" t="s">
        <v>105</v>
      </c>
      <c r="B19" s="87">
        <v>2</v>
      </c>
      <c r="C19" s="76"/>
      <c r="D19" s="76">
        <f>+'Year 1 Resp'!D19</f>
        <v>50000</v>
      </c>
      <c r="E19" s="57">
        <v>1</v>
      </c>
      <c r="F19" s="57">
        <f t="shared" si="0"/>
        <v>2</v>
      </c>
      <c r="G19" s="57">
        <v>1</v>
      </c>
      <c r="H19" s="57">
        <f t="shared" si="1"/>
        <v>2</v>
      </c>
      <c r="I19" s="57">
        <f t="shared" si="3"/>
        <v>0.5</v>
      </c>
      <c r="J19" s="57">
        <f t="shared" si="2"/>
        <v>0.2</v>
      </c>
      <c r="K19" s="98">
        <f>(H19*'Burden Table Inputs'!$C$25)+(I19*'Burden Table Inputs'!$C$26)+(J19*'Burden Table Inputs'!$C$27)</f>
        <v>297.33000000000004</v>
      </c>
      <c r="L19" s="98">
        <f t="shared" si="4"/>
        <v>50000</v>
      </c>
      <c r="M19" s="45">
        <v>0</v>
      </c>
      <c r="N19" s="74"/>
    </row>
    <row r="20" spans="1:14">
      <c r="A20" s="51" t="s">
        <v>106</v>
      </c>
      <c r="B20" s="57">
        <v>2</v>
      </c>
      <c r="C20" s="76"/>
      <c r="D20" s="76">
        <f>+'Year 1 Resp'!D20</f>
        <v>18000</v>
      </c>
      <c r="E20" s="57">
        <v>1</v>
      </c>
      <c r="F20" s="57">
        <f t="shared" si="0"/>
        <v>2</v>
      </c>
      <c r="G20" s="57">
        <v>1</v>
      </c>
      <c r="H20" s="57">
        <f t="shared" si="1"/>
        <v>2</v>
      </c>
      <c r="I20" s="57">
        <f t="shared" si="3"/>
        <v>0.5</v>
      </c>
      <c r="J20" s="57">
        <f t="shared" si="2"/>
        <v>0.2</v>
      </c>
      <c r="K20" s="76">
        <f>(H20*'Burden Table Inputs'!$C$25)+(I20*'Burden Table Inputs'!$C$26)+(J20*'Burden Table Inputs'!$C$27)</f>
        <v>297.33000000000004</v>
      </c>
      <c r="L20" s="76">
        <f t="shared" si="4"/>
        <v>18000</v>
      </c>
      <c r="M20" s="45">
        <v>0</v>
      </c>
      <c r="N20" s="74"/>
    </row>
    <row r="21" spans="1:14">
      <c r="A21" s="51" t="s">
        <v>118</v>
      </c>
      <c r="B21" s="57"/>
      <c r="C21" s="76"/>
      <c r="D21" s="76"/>
      <c r="E21" s="57"/>
      <c r="F21" s="57"/>
      <c r="G21" s="57"/>
      <c r="H21" s="57"/>
      <c r="I21" s="57"/>
      <c r="J21" s="57"/>
      <c r="K21" s="76"/>
      <c r="L21" s="76"/>
      <c r="M21" s="45"/>
      <c r="N21" s="74"/>
    </row>
    <row r="22" spans="1:14">
      <c r="A22" s="51" t="s">
        <v>105</v>
      </c>
      <c r="B22" s="57">
        <v>2</v>
      </c>
      <c r="C22" s="76"/>
      <c r="D22" s="76">
        <f>+'Year 1 Resp'!D22</f>
        <v>20000</v>
      </c>
      <c r="E22" s="57">
        <v>1</v>
      </c>
      <c r="F22" s="57">
        <f t="shared" si="0"/>
        <v>2</v>
      </c>
      <c r="G22" s="57">
        <v>1</v>
      </c>
      <c r="H22" s="57">
        <f t="shared" si="1"/>
        <v>2</v>
      </c>
      <c r="I22" s="57">
        <f t="shared" si="3"/>
        <v>0.5</v>
      </c>
      <c r="J22" s="57">
        <f t="shared" si="2"/>
        <v>0.2</v>
      </c>
      <c r="K22" s="76">
        <f>(H22*'Burden Table Inputs'!$C$25)+(I22*'Burden Table Inputs'!$C$26)+(J22*'Burden Table Inputs'!$C$27)</f>
        <v>297.33000000000004</v>
      </c>
      <c r="L22" s="76">
        <f t="shared" si="4"/>
        <v>20000</v>
      </c>
      <c r="M22" s="45">
        <v>0</v>
      </c>
      <c r="N22" s="74"/>
    </row>
    <row r="23" spans="1:14">
      <c r="A23" s="51" t="s">
        <v>106</v>
      </c>
      <c r="B23" s="57">
        <v>2</v>
      </c>
      <c r="C23" s="76"/>
      <c r="D23" s="76">
        <f>+'Year 1 Resp'!D23</f>
        <v>6200</v>
      </c>
      <c r="E23" s="57">
        <v>1</v>
      </c>
      <c r="F23" s="57">
        <f t="shared" si="0"/>
        <v>2</v>
      </c>
      <c r="G23" s="57">
        <v>1</v>
      </c>
      <c r="H23" s="57">
        <f t="shared" si="1"/>
        <v>2</v>
      </c>
      <c r="I23" s="57">
        <f t="shared" si="3"/>
        <v>0.5</v>
      </c>
      <c r="J23" s="57">
        <f t="shared" si="2"/>
        <v>0.2</v>
      </c>
      <c r="K23" s="76">
        <f>(H23*'Burden Table Inputs'!$C$25)+(I23*'Burden Table Inputs'!$C$26)+(J23*'Burden Table Inputs'!$C$27)</f>
        <v>297.33000000000004</v>
      </c>
      <c r="L23" s="76">
        <f t="shared" si="4"/>
        <v>6200</v>
      </c>
      <c r="M23" s="45">
        <v>0</v>
      </c>
      <c r="N23" s="74"/>
    </row>
    <row r="24" spans="1:14">
      <c r="A24" s="51" t="s">
        <v>117</v>
      </c>
      <c r="B24" s="57"/>
      <c r="C24" s="76"/>
      <c r="D24" s="76"/>
      <c r="E24" s="57"/>
      <c r="F24" s="57"/>
      <c r="G24" s="57"/>
      <c r="H24" s="57"/>
      <c r="I24" s="57"/>
      <c r="J24" s="57"/>
      <c r="K24" s="76"/>
      <c r="L24" s="76"/>
      <c r="M24" s="45"/>
      <c r="N24" s="74"/>
    </row>
    <row r="25" spans="1:14">
      <c r="A25" s="51" t="s">
        <v>105</v>
      </c>
      <c r="B25" s="57">
        <v>4</v>
      </c>
      <c r="C25" s="76"/>
      <c r="D25" s="76">
        <f>+'Year 1 Resp'!D25</f>
        <v>265000</v>
      </c>
      <c r="E25" s="57">
        <v>0.5</v>
      </c>
      <c r="F25" s="57">
        <f t="shared" si="0"/>
        <v>2</v>
      </c>
      <c r="G25" s="57">
        <v>2</v>
      </c>
      <c r="H25" s="57">
        <f t="shared" si="1"/>
        <v>4</v>
      </c>
      <c r="I25" s="57">
        <f t="shared" si="3"/>
        <v>1</v>
      </c>
      <c r="J25" s="57">
        <f t="shared" si="2"/>
        <v>0.4</v>
      </c>
      <c r="K25" s="76">
        <f>(H25*'Burden Table Inputs'!$C$25)+(I25*'Burden Table Inputs'!$C$26)+(J25*'Burden Table Inputs'!$C$27)</f>
        <v>594.66000000000008</v>
      </c>
      <c r="L25" s="76">
        <f t="shared" si="4"/>
        <v>265000</v>
      </c>
      <c r="M25" s="45">
        <v>0</v>
      </c>
      <c r="N25" s="74"/>
    </row>
    <row r="26" spans="1:14">
      <c r="A26" s="51" t="s">
        <v>106</v>
      </c>
      <c r="B26" s="57">
        <v>4</v>
      </c>
      <c r="C26" s="76"/>
      <c r="D26" s="76">
        <f>+'Year 1 Resp'!D26</f>
        <v>94000</v>
      </c>
      <c r="E26" s="57">
        <v>0.5</v>
      </c>
      <c r="F26" s="57">
        <f t="shared" si="0"/>
        <v>2</v>
      </c>
      <c r="G26" s="57">
        <v>2</v>
      </c>
      <c r="H26" s="57">
        <f t="shared" si="1"/>
        <v>4</v>
      </c>
      <c r="I26" s="57">
        <f t="shared" si="3"/>
        <v>1</v>
      </c>
      <c r="J26" s="57">
        <f t="shared" si="2"/>
        <v>0.4</v>
      </c>
      <c r="K26" s="76">
        <f>(H26*'Burden Table Inputs'!$C$25)+(I26*'Burden Table Inputs'!$C$26)+(J26*'Burden Table Inputs'!$C$27)</f>
        <v>594.66000000000008</v>
      </c>
      <c r="L26" s="76">
        <f t="shared" si="4"/>
        <v>94000</v>
      </c>
      <c r="M26" s="45">
        <v>0</v>
      </c>
      <c r="N26" s="74"/>
    </row>
    <row r="27" spans="1:14">
      <c r="A27" s="51" t="s">
        <v>119</v>
      </c>
      <c r="B27" s="57"/>
      <c r="C27" s="76"/>
      <c r="D27" s="76"/>
      <c r="E27" s="57"/>
      <c r="F27" s="57"/>
      <c r="G27" s="57"/>
      <c r="H27" s="57"/>
      <c r="I27" s="57"/>
      <c r="J27" s="57"/>
      <c r="K27" s="76"/>
      <c r="L27" s="76"/>
      <c r="M27" s="45"/>
      <c r="N27" s="74"/>
    </row>
    <row r="28" spans="1:14">
      <c r="A28" s="51" t="s">
        <v>105</v>
      </c>
      <c r="B28" s="57">
        <v>2</v>
      </c>
      <c r="C28" s="76"/>
      <c r="D28" s="76">
        <v>2300</v>
      </c>
      <c r="E28" s="57">
        <v>2</v>
      </c>
      <c r="F28" s="57">
        <f t="shared" si="0"/>
        <v>4</v>
      </c>
      <c r="G28" s="57">
        <v>2</v>
      </c>
      <c r="H28" s="57">
        <f t="shared" si="1"/>
        <v>8</v>
      </c>
      <c r="I28" s="57">
        <f t="shared" si="3"/>
        <v>1</v>
      </c>
      <c r="J28" s="57">
        <f t="shared" si="2"/>
        <v>0.8</v>
      </c>
      <c r="K28" s="76">
        <f>(H28*'Burden Table Inputs'!$C$25)+(I28*'Burden Table Inputs'!$C$26)+(J28*'Burden Table Inputs'!$C$27)</f>
        <v>1057.28</v>
      </c>
      <c r="L28" s="76">
        <f t="shared" si="4"/>
        <v>9200</v>
      </c>
      <c r="M28" s="45">
        <v>0</v>
      </c>
      <c r="N28" s="74"/>
    </row>
    <row r="29" spans="1:14">
      <c r="A29" s="51" t="s">
        <v>106</v>
      </c>
      <c r="B29" s="57">
        <v>2</v>
      </c>
      <c r="C29" s="76"/>
      <c r="D29" s="76">
        <v>230</v>
      </c>
      <c r="E29" s="57">
        <v>2</v>
      </c>
      <c r="F29" s="57">
        <f t="shared" si="0"/>
        <v>4</v>
      </c>
      <c r="G29" s="57">
        <v>2</v>
      </c>
      <c r="H29" s="57">
        <f t="shared" si="1"/>
        <v>8</v>
      </c>
      <c r="I29" s="57">
        <f t="shared" si="3"/>
        <v>1</v>
      </c>
      <c r="J29" s="57">
        <f t="shared" si="2"/>
        <v>0.8</v>
      </c>
      <c r="K29" s="76">
        <f>(H29*'Burden Table Inputs'!$C$25)+(I29*'Burden Table Inputs'!$C$26)+(J29*'Burden Table Inputs'!$C$27)</f>
        <v>1057.28</v>
      </c>
      <c r="L29" s="76">
        <f t="shared" si="4"/>
        <v>920</v>
      </c>
      <c r="M29" s="45">
        <v>0</v>
      </c>
      <c r="N29" s="74"/>
    </row>
    <row r="30" spans="1:14">
      <c r="A30" s="45" t="s">
        <v>12</v>
      </c>
      <c r="B30" s="118" t="s">
        <v>137</v>
      </c>
      <c r="C30" s="120"/>
      <c r="D30" s="120"/>
      <c r="E30" s="57"/>
      <c r="F30" s="57"/>
      <c r="G30" s="57"/>
      <c r="H30" s="57"/>
      <c r="I30" s="57"/>
      <c r="J30" s="57"/>
      <c r="K30" s="98"/>
      <c r="L30" s="98">
        <f t="shared" si="4"/>
        <v>0</v>
      </c>
      <c r="M30" s="45"/>
      <c r="N30" s="74"/>
    </row>
    <row r="31" spans="1:14">
      <c r="A31" s="45" t="s">
        <v>13</v>
      </c>
      <c r="B31" s="118" t="s">
        <v>137</v>
      </c>
      <c r="C31" s="120"/>
      <c r="D31" s="120"/>
      <c r="E31" s="57"/>
      <c r="F31" s="57"/>
      <c r="G31" s="57"/>
      <c r="H31" s="57"/>
      <c r="I31" s="57"/>
      <c r="J31" s="57"/>
      <c r="K31" s="98"/>
      <c r="L31" s="98">
        <f t="shared" si="4"/>
        <v>0</v>
      </c>
      <c r="M31" s="45"/>
      <c r="N31" s="74"/>
    </row>
    <row r="32" spans="1:14">
      <c r="A32" s="45" t="s">
        <v>14</v>
      </c>
      <c r="B32" s="118"/>
      <c r="C32" s="120"/>
      <c r="D32" s="120"/>
      <c r="E32" s="57"/>
      <c r="F32" s="57"/>
      <c r="G32" s="57"/>
      <c r="H32" s="57"/>
      <c r="I32" s="57"/>
      <c r="J32" s="57"/>
      <c r="K32" s="98"/>
      <c r="L32" s="98">
        <f t="shared" si="4"/>
        <v>0</v>
      </c>
      <c r="M32" s="45"/>
      <c r="N32" s="74"/>
    </row>
    <row r="33" spans="1:14">
      <c r="A33" s="45" t="s">
        <v>147</v>
      </c>
      <c r="B33" s="118" t="s">
        <v>63</v>
      </c>
      <c r="C33" s="76"/>
      <c r="D33" s="76"/>
      <c r="E33" s="57"/>
      <c r="F33" s="57"/>
      <c r="G33" s="57"/>
      <c r="H33" s="57"/>
      <c r="I33" s="57"/>
      <c r="J33" s="57"/>
      <c r="K33" s="98"/>
      <c r="L33" s="98"/>
      <c r="M33" s="45"/>
      <c r="N33" s="74"/>
    </row>
    <row r="34" spans="1:14">
      <c r="A34" s="45" t="s">
        <v>146</v>
      </c>
      <c r="B34" s="57">
        <v>4</v>
      </c>
      <c r="C34" s="76"/>
      <c r="D34" s="76"/>
      <c r="E34" s="57">
        <v>1</v>
      </c>
      <c r="F34" s="57">
        <f t="shared" si="0"/>
        <v>4</v>
      </c>
      <c r="G34" s="57">
        <v>0</v>
      </c>
      <c r="H34" s="57">
        <f t="shared" si="1"/>
        <v>0</v>
      </c>
      <c r="I34" s="57">
        <f t="shared" si="3"/>
        <v>0</v>
      </c>
      <c r="J34" s="57">
        <f t="shared" si="2"/>
        <v>0</v>
      </c>
      <c r="K34" s="98">
        <f>(H34*'Burden Table Inputs'!$C$25)+(I34*'Burden Table Inputs'!$C$26)+(J34*'Burden Table Inputs'!$C$27)</f>
        <v>0</v>
      </c>
      <c r="L34" s="98">
        <f t="shared" si="4"/>
        <v>0</v>
      </c>
      <c r="M34" s="45">
        <f>E34*G34</f>
        <v>0</v>
      </c>
      <c r="N34" s="74"/>
    </row>
    <row r="35" spans="1:14">
      <c r="A35" s="45" t="s">
        <v>145</v>
      </c>
      <c r="B35" s="57">
        <v>10</v>
      </c>
      <c r="C35" s="76"/>
      <c r="D35" s="76"/>
      <c r="E35" s="57">
        <v>1</v>
      </c>
      <c r="F35" s="57">
        <f t="shared" si="0"/>
        <v>10</v>
      </c>
      <c r="G35" s="57">
        <v>2</v>
      </c>
      <c r="H35" s="57">
        <f t="shared" si="1"/>
        <v>20</v>
      </c>
      <c r="I35" s="57">
        <f t="shared" si="3"/>
        <v>1</v>
      </c>
      <c r="J35" s="57">
        <f t="shared" si="2"/>
        <v>2</v>
      </c>
      <c r="K35" s="98">
        <f>(H35*'Burden Table Inputs'!$C$25)+(I35*'Burden Table Inputs'!$C$26)+(J35*'Burden Table Inputs'!$C$27)</f>
        <v>2445.14</v>
      </c>
      <c r="L35" s="98">
        <f t="shared" si="4"/>
        <v>0</v>
      </c>
      <c r="M35" s="45">
        <f t="shared" ref="M35:M41" si="5">E35*G35</f>
        <v>2</v>
      </c>
      <c r="N35" s="74"/>
    </row>
    <row r="36" spans="1:14">
      <c r="A36" s="45" t="s">
        <v>144</v>
      </c>
      <c r="B36" s="57">
        <v>10</v>
      </c>
      <c r="C36" s="76"/>
      <c r="D36" s="76"/>
      <c r="E36" s="57">
        <v>1</v>
      </c>
      <c r="F36" s="57">
        <f t="shared" si="0"/>
        <v>10</v>
      </c>
      <c r="G36" s="57">
        <v>2</v>
      </c>
      <c r="H36" s="57">
        <f t="shared" si="1"/>
        <v>20</v>
      </c>
      <c r="I36" s="57">
        <f t="shared" si="3"/>
        <v>1</v>
      </c>
      <c r="J36" s="57">
        <f t="shared" si="2"/>
        <v>2</v>
      </c>
      <c r="K36" s="98">
        <f>(H36*'Burden Table Inputs'!$C$25)+(I36*'Burden Table Inputs'!$C$26)+(J36*'Burden Table Inputs'!$C$27)</f>
        <v>2445.14</v>
      </c>
      <c r="L36" s="98">
        <f t="shared" si="4"/>
        <v>0</v>
      </c>
      <c r="M36" s="45">
        <f t="shared" si="5"/>
        <v>2</v>
      </c>
      <c r="N36" s="74"/>
    </row>
    <row r="37" spans="1:14">
      <c r="A37" s="45" t="s">
        <v>140</v>
      </c>
      <c r="B37" s="57">
        <v>80</v>
      </c>
      <c r="C37" s="76"/>
      <c r="D37" s="76"/>
      <c r="E37" s="57">
        <v>1</v>
      </c>
      <c r="F37" s="57">
        <f t="shared" si="0"/>
        <v>80</v>
      </c>
      <c r="G37" s="57">
        <v>0</v>
      </c>
      <c r="H37" s="57">
        <f t="shared" si="1"/>
        <v>0</v>
      </c>
      <c r="I37" s="57">
        <f t="shared" si="3"/>
        <v>0</v>
      </c>
      <c r="J37" s="57">
        <f t="shared" si="2"/>
        <v>0</v>
      </c>
      <c r="K37" s="98">
        <f>(H37*'Burden Table Inputs'!$C$25)+(I37*'Burden Table Inputs'!$C$26)+(J37*'Burden Table Inputs'!$C$27)</f>
        <v>0</v>
      </c>
      <c r="L37" s="98">
        <f t="shared" si="4"/>
        <v>0</v>
      </c>
      <c r="M37" s="45">
        <f t="shared" si="5"/>
        <v>0</v>
      </c>
      <c r="N37" s="74"/>
    </row>
    <row r="38" spans="1:14">
      <c r="A38" s="45" t="s">
        <v>141</v>
      </c>
      <c r="B38" s="57">
        <v>10</v>
      </c>
      <c r="C38" s="76"/>
      <c r="D38" s="76"/>
      <c r="E38" s="57">
        <v>1</v>
      </c>
      <c r="F38" s="57">
        <f t="shared" si="0"/>
        <v>10</v>
      </c>
      <c r="G38" s="57">
        <v>0</v>
      </c>
      <c r="H38" s="57">
        <f t="shared" si="1"/>
        <v>0</v>
      </c>
      <c r="I38" s="57">
        <f t="shared" si="3"/>
        <v>0</v>
      </c>
      <c r="J38" s="57">
        <f t="shared" si="2"/>
        <v>0</v>
      </c>
      <c r="K38" s="98">
        <f>(H38*'Burden Table Inputs'!$C$25)+(I38*'Burden Table Inputs'!$C$26)+(J38*'Burden Table Inputs'!$C$27)</f>
        <v>0</v>
      </c>
      <c r="L38" s="98">
        <f t="shared" si="4"/>
        <v>0</v>
      </c>
      <c r="M38" s="45">
        <f t="shared" si="5"/>
        <v>0</v>
      </c>
      <c r="N38" s="74"/>
    </row>
    <row r="39" spans="1:14">
      <c r="A39" s="51" t="s">
        <v>142</v>
      </c>
      <c r="B39" s="57">
        <v>10</v>
      </c>
      <c r="C39" s="76"/>
      <c r="D39" s="76"/>
      <c r="E39" s="57">
        <v>1</v>
      </c>
      <c r="F39" s="57">
        <f t="shared" si="0"/>
        <v>10</v>
      </c>
      <c r="G39" s="57">
        <v>0</v>
      </c>
      <c r="H39" s="57">
        <f t="shared" si="1"/>
        <v>0</v>
      </c>
      <c r="I39" s="57">
        <f t="shared" si="3"/>
        <v>0</v>
      </c>
      <c r="J39" s="57">
        <f t="shared" si="2"/>
        <v>0</v>
      </c>
      <c r="K39" s="98">
        <f>(H39*'Burden Table Inputs'!$C$25)+(I39*'Burden Table Inputs'!$C$26)+(J39*'Burden Table Inputs'!$C$27)</f>
        <v>0</v>
      </c>
      <c r="L39" s="98">
        <f t="shared" si="4"/>
        <v>0</v>
      </c>
      <c r="M39" s="45">
        <f t="shared" si="5"/>
        <v>0</v>
      </c>
      <c r="N39" s="74"/>
    </row>
    <row r="40" spans="1:14">
      <c r="A40" s="51" t="s">
        <v>143</v>
      </c>
      <c r="B40" s="57">
        <v>20</v>
      </c>
      <c r="C40" s="87"/>
      <c r="D40" s="87"/>
      <c r="E40" s="121">
        <v>1</v>
      </c>
      <c r="F40" s="45">
        <f t="shared" si="0"/>
        <v>20</v>
      </c>
      <c r="G40" s="121">
        <v>0</v>
      </c>
      <c r="H40" s="45">
        <f t="shared" si="1"/>
        <v>0</v>
      </c>
      <c r="I40" s="45">
        <f t="shared" si="3"/>
        <v>0</v>
      </c>
      <c r="J40" s="45">
        <f t="shared" si="2"/>
        <v>0</v>
      </c>
      <c r="K40" s="76">
        <f>(H40*'Burden Table Inputs'!$C$25)+(I40*'Burden Table Inputs'!$C$26)+(J40*'Burden Table Inputs'!$C$27)</f>
        <v>0</v>
      </c>
      <c r="L40" s="76">
        <f t="shared" si="4"/>
        <v>0</v>
      </c>
      <c r="M40" s="45">
        <f t="shared" si="5"/>
        <v>0</v>
      </c>
      <c r="N40" s="74"/>
    </row>
    <row r="41" spans="1:14">
      <c r="A41" s="51" t="s">
        <v>154</v>
      </c>
      <c r="B41" s="57">
        <v>30</v>
      </c>
      <c r="C41" s="87"/>
      <c r="D41" s="87"/>
      <c r="E41" s="121">
        <v>1</v>
      </c>
      <c r="F41" s="121">
        <f t="shared" si="0"/>
        <v>30</v>
      </c>
      <c r="G41" s="121">
        <v>0</v>
      </c>
      <c r="H41" s="121">
        <f t="shared" si="1"/>
        <v>0</v>
      </c>
      <c r="I41" s="121">
        <f t="shared" si="3"/>
        <v>0</v>
      </c>
      <c r="J41" s="121">
        <f t="shared" si="2"/>
        <v>0</v>
      </c>
      <c r="K41" s="76">
        <f>(H41*'Burden Table Inputs'!$C$25)+(I41*'Burden Table Inputs'!$C$26)+(J41*'Burden Table Inputs'!$C$27)</f>
        <v>0</v>
      </c>
      <c r="L41" s="76">
        <f t="shared" si="4"/>
        <v>0</v>
      </c>
      <c r="M41" s="45">
        <f t="shared" si="5"/>
        <v>0</v>
      </c>
      <c r="N41" s="74"/>
    </row>
    <row r="42" spans="1:14">
      <c r="A42" s="122" t="s">
        <v>155</v>
      </c>
      <c r="B42" s="87"/>
      <c r="C42" s="87"/>
      <c r="D42" s="87"/>
      <c r="E42" s="121">
        <f>SUM(E9:E41)</f>
        <v>762</v>
      </c>
      <c r="F42" s="121">
        <f>SUM(F9:F41)</f>
        <v>628.25</v>
      </c>
      <c r="G42" s="121">
        <f>SUM(G9:G41)</f>
        <v>26</v>
      </c>
      <c r="H42" s="121">
        <f t="shared" ref="H42:M42" si="6">SUM(H9:H41)</f>
        <v>588.25</v>
      </c>
      <c r="I42" s="45">
        <f t="shared" si="6"/>
        <v>13</v>
      </c>
      <c r="J42" s="121">
        <f t="shared" si="6"/>
        <v>58.825000000000003</v>
      </c>
      <c r="K42" s="76">
        <f t="shared" si="6"/>
        <v>49123.693750000013</v>
      </c>
      <c r="L42" s="76">
        <f>SUM(L9:L41)-L19-L22-L25-L28</f>
        <v>920320</v>
      </c>
      <c r="M42" s="45">
        <f t="shared" si="6"/>
        <v>21</v>
      </c>
      <c r="N42" s="74"/>
    </row>
    <row r="43" spans="1:14">
      <c r="A43" s="45" t="s">
        <v>139</v>
      </c>
      <c r="B43" s="119"/>
      <c r="C43" s="123"/>
      <c r="D43" s="123"/>
      <c r="E43" s="75"/>
      <c r="F43" s="75"/>
      <c r="G43" s="75"/>
      <c r="H43" s="75"/>
      <c r="I43" s="75"/>
      <c r="J43" s="75"/>
      <c r="K43" s="99"/>
      <c r="L43" s="99"/>
      <c r="M43" s="99"/>
      <c r="N43" s="74"/>
    </row>
    <row r="44" spans="1:14">
      <c r="A44" s="45" t="s">
        <v>73</v>
      </c>
      <c r="B44" s="118" t="s">
        <v>148</v>
      </c>
      <c r="C44" s="120"/>
      <c r="D44" s="120"/>
      <c r="E44" s="57"/>
      <c r="F44" s="57"/>
      <c r="G44" s="57"/>
      <c r="H44" s="57"/>
      <c r="I44" s="57"/>
      <c r="J44" s="57"/>
      <c r="K44" s="98"/>
      <c r="L44" s="98">
        <f t="shared" si="4"/>
        <v>0</v>
      </c>
      <c r="M44" s="45">
        <v>0</v>
      </c>
      <c r="N44" s="74"/>
    </row>
    <row r="45" spans="1:14">
      <c r="A45" s="45" t="s">
        <v>150</v>
      </c>
      <c r="B45" s="118" t="s">
        <v>63</v>
      </c>
      <c r="C45" s="120"/>
      <c r="D45" s="120"/>
      <c r="E45" s="57"/>
      <c r="F45" s="57"/>
      <c r="G45" s="57"/>
      <c r="H45" s="57"/>
      <c r="I45" s="57"/>
      <c r="J45" s="57"/>
      <c r="K45" s="98"/>
      <c r="L45" s="98">
        <f t="shared" si="4"/>
        <v>0</v>
      </c>
      <c r="M45" s="45">
        <v>0</v>
      </c>
      <c r="N45" s="74"/>
    </row>
    <row r="46" spans="1:14">
      <c r="A46" s="45" t="s">
        <v>151</v>
      </c>
      <c r="B46" s="118" t="s">
        <v>63</v>
      </c>
      <c r="C46" s="120"/>
      <c r="D46" s="120"/>
      <c r="E46" s="57"/>
      <c r="F46" s="57"/>
      <c r="G46" s="57"/>
      <c r="H46" s="57"/>
      <c r="I46" s="57"/>
      <c r="J46" s="57"/>
      <c r="K46" s="98"/>
      <c r="L46" s="98">
        <f t="shared" si="4"/>
        <v>0</v>
      </c>
      <c r="M46" s="45">
        <v>0</v>
      </c>
      <c r="N46" s="74"/>
    </row>
    <row r="47" spans="1:14">
      <c r="A47" s="45" t="s">
        <v>152</v>
      </c>
      <c r="B47" s="119"/>
      <c r="C47" s="123"/>
      <c r="D47" s="123"/>
      <c r="E47" s="75"/>
      <c r="F47" s="75"/>
      <c r="G47" s="75"/>
      <c r="H47" s="75"/>
      <c r="I47" s="75"/>
      <c r="J47" s="75"/>
      <c r="K47" s="99"/>
      <c r="L47" s="99"/>
      <c r="M47" s="99"/>
      <c r="N47" s="74"/>
    </row>
    <row r="48" spans="1:14">
      <c r="A48" s="45" t="s">
        <v>153</v>
      </c>
      <c r="B48" s="57">
        <v>1</v>
      </c>
      <c r="C48" s="76"/>
      <c r="D48" s="76"/>
      <c r="E48" s="57">
        <f>5*12</f>
        <v>60</v>
      </c>
      <c r="F48" s="57">
        <f t="shared" si="0"/>
        <v>60</v>
      </c>
      <c r="G48" s="57">
        <v>0</v>
      </c>
      <c r="H48" s="57">
        <f t="shared" si="1"/>
        <v>0</v>
      </c>
      <c r="I48" s="57">
        <f t="shared" si="3"/>
        <v>0</v>
      </c>
      <c r="J48" s="57">
        <f t="shared" si="2"/>
        <v>0</v>
      </c>
      <c r="K48" s="98">
        <f>(H48*'Burden Table Inputs'!$C$25)+(I48*'Burden Table Inputs'!$C$26)+(J48*'Burden Table Inputs'!$C$27)</f>
        <v>0</v>
      </c>
      <c r="L48" s="98">
        <f t="shared" si="4"/>
        <v>0</v>
      </c>
      <c r="M48" s="45">
        <v>0</v>
      </c>
      <c r="N48" s="74"/>
    </row>
    <row r="49" spans="1:18">
      <c r="A49" s="51" t="s">
        <v>75</v>
      </c>
      <c r="B49" s="140">
        <v>20</v>
      </c>
      <c r="C49" s="120"/>
      <c r="D49" s="120"/>
      <c r="E49" s="57">
        <v>1</v>
      </c>
      <c r="F49" s="57">
        <f t="shared" si="0"/>
        <v>20</v>
      </c>
      <c r="G49" s="57">
        <v>2</v>
      </c>
      <c r="H49" s="57">
        <f t="shared" si="1"/>
        <v>40</v>
      </c>
      <c r="I49" s="57">
        <f t="shared" si="3"/>
        <v>1</v>
      </c>
      <c r="J49" s="57">
        <f t="shared" si="2"/>
        <v>4</v>
      </c>
      <c r="K49" s="98">
        <f>(H49*'Burden Table Inputs'!$C$25)+(I49*'Burden Table Inputs'!$C$26)+(J49*'Burden Table Inputs'!$C$27)</f>
        <v>4758.24</v>
      </c>
      <c r="L49" s="98">
        <f t="shared" si="4"/>
        <v>0</v>
      </c>
      <c r="M49" s="45">
        <v>0</v>
      </c>
      <c r="N49" s="74"/>
    </row>
    <row r="50" spans="1:18" ht="13.5" thickBot="1">
      <c r="A50" s="77" t="s">
        <v>158</v>
      </c>
      <c r="B50" s="124" t="s">
        <v>63</v>
      </c>
      <c r="C50" s="125"/>
      <c r="D50" s="125"/>
      <c r="E50" s="78"/>
      <c r="F50" s="78"/>
      <c r="G50" s="78"/>
      <c r="H50" s="78"/>
      <c r="I50" s="78">
        <f t="shared" si="3"/>
        <v>0</v>
      </c>
      <c r="J50" s="78">
        <f t="shared" si="2"/>
        <v>0</v>
      </c>
      <c r="K50" s="100"/>
      <c r="L50" s="100">
        <f t="shared" si="4"/>
        <v>0</v>
      </c>
      <c r="M50" s="77">
        <v>0</v>
      </c>
      <c r="N50" s="74"/>
    </row>
    <row r="51" spans="1:18" ht="13.5" thickBot="1">
      <c r="A51" s="127" t="s">
        <v>156</v>
      </c>
      <c r="B51" s="128"/>
      <c r="C51" s="129"/>
      <c r="D51" s="129"/>
      <c r="E51" s="131">
        <f>SUM(E48:E50)</f>
        <v>61</v>
      </c>
      <c r="F51" s="130">
        <f>SUM(F48:F50)</f>
        <v>80</v>
      </c>
      <c r="G51" s="130">
        <f>SUM(G48:G50)</f>
        <v>2</v>
      </c>
      <c r="H51" s="130">
        <f t="shared" ref="H51:M51" si="7">SUM(H48:H50)</f>
        <v>40</v>
      </c>
      <c r="I51" s="131">
        <f t="shared" si="7"/>
        <v>1</v>
      </c>
      <c r="J51" s="131">
        <f t="shared" si="7"/>
        <v>4</v>
      </c>
      <c r="K51" s="132">
        <f t="shared" si="7"/>
        <v>4758.24</v>
      </c>
      <c r="L51" s="133">
        <f t="shared" si="7"/>
        <v>0</v>
      </c>
      <c r="M51" s="134">
        <f t="shared" si="7"/>
        <v>0</v>
      </c>
      <c r="N51" s="74"/>
    </row>
    <row r="52" spans="1:18" ht="13.5" thickBot="1">
      <c r="A52" s="127" t="s">
        <v>159</v>
      </c>
      <c r="B52" s="135"/>
      <c r="C52" s="135"/>
      <c r="D52" s="135"/>
      <c r="E52" s="137">
        <f>E42+E51</f>
        <v>823</v>
      </c>
      <c r="F52" s="136">
        <f>F42+F51</f>
        <v>708.25</v>
      </c>
      <c r="G52" s="136">
        <f>G42+G51</f>
        <v>28</v>
      </c>
      <c r="H52" s="136">
        <f t="shared" ref="H52:M52" si="8">H42+H51</f>
        <v>628.25</v>
      </c>
      <c r="I52" s="137">
        <f t="shared" si="8"/>
        <v>14</v>
      </c>
      <c r="J52" s="137">
        <f t="shared" si="8"/>
        <v>62.825000000000003</v>
      </c>
      <c r="K52" s="132">
        <f t="shared" si="8"/>
        <v>53881.933750000011</v>
      </c>
      <c r="L52" s="133">
        <f t="shared" si="8"/>
        <v>920320</v>
      </c>
      <c r="M52" s="138">
        <f t="shared" si="8"/>
        <v>21</v>
      </c>
      <c r="N52" s="74"/>
    </row>
    <row r="53" spans="1:18">
      <c r="A53" s="126"/>
      <c r="B53" s="88"/>
      <c r="C53" s="88"/>
      <c r="D53" s="88"/>
      <c r="E53" s="79"/>
      <c r="F53" s="79"/>
      <c r="G53" s="80" t="s">
        <v>84</v>
      </c>
      <c r="H53" s="141" t="s">
        <v>160</v>
      </c>
      <c r="I53" s="141" t="s">
        <v>165</v>
      </c>
      <c r="J53" s="141" t="s">
        <v>161</v>
      </c>
      <c r="K53" s="142" t="s">
        <v>28</v>
      </c>
      <c r="L53" s="95"/>
      <c r="N53" s="74"/>
    </row>
    <row r="54" spans="1:18">
      <c r="A54" s="45"/>
      <c r="B54" s="89"/>
      <c r="C54" s="89"/>
      <c r="D54" s="89"/>
      <c r="E54" s="81" t="s">
        <v>162</v>
      </c>
      <c r="F54" s="81"/>
      <c r="G54" s="82"/>
      <c r="H54" s="143">
        <f>H52+I52+J52</f>
        <v>705.07500000000005</v>
      </c>
      <c r="I54" s="144">
        <f>+K52</f>
        <v>53881.933750000011</v>
      </c>
      <c r="J54" s="144">
        <f>L52</f>
        <v>920320</v>
      </c>
      <c r="K54" s="50">
        <f>I54+J54</f>
        <v>974201.93374999997</v>
      </c>
      <c r="L54" s="74"/>
      <c r="N54" s="74"/>
    </row>
    <row r="55" spans="1:18">
      <c r="A55" s="45"/>
      <c r="B55" s="101"/>
      <c r="C55" s="94"/>
      <c r="D55" s="94"/>
      <c r="E55" s="81" t="s">
        <v>163</v>
      </c>
      <c r="F55" s="81"/>
      <c r="G55" s="82"/>
      <c r="H55" s="143"/>
      <c r="I55" s="143"/>
      <c r="J55" s="144">
        <f>L19+L22+L25+L28</f>
        <v>344200</v>
      </c>
      <c r="K55" s="145"/>
      <c r="L55" s="96"/>
      <c r="N55" s="74"/>
    </row>
    <row r="56" spans="1:18">
      <c r="A56" s="51"/>
      <c r="B56" s="89"/>
      <c r="C56" s="88"/>
      <c r="D56" s="88"/>
      <c r="E56" s="81" t="s">
        <v>164</v>
      </c>
      <c r="F56" s="81"/>
      <c r="G56" s="82"/>
      <c r="H56" s="143"/>
      <c r="I56" s="143"/>
      <c r="J56" s="144">
        <f>L52</f>
        <v>920320</v>
      </c>
      <c r="K56" s="145"/>
      <c r="L56" s="96"/>
      <c r="N56" s="74"/>
      <c r="R56" s="49"/>
    </row>
    <row r="57" spans="1:18">
      <c r="A57" s="12" t="s">
        <v>16</v>
      </c>
      <c r="B57" s="85"/>
      <c r="C57" s="85"/>
      <c r="D57" s="85"/>
      <c r="E57" s="52"/>
      <c r="F57" s="83"/>
      <c r="G57" s="52"/>
      <c r="H57" s="52"/>
      <c r="I57" s="52"/>
      <c r="J57" s="52"/>
      <c r="K57" s="52"/>
      <c r="L57" s="52"/>
      <c r="M57" s="74"/>
      <c r="N57" s="74"/>
    </row>
    <row r="58" spans="1:18">
      <c r="A58" s="91" t="s">
        <v>157</v>
      </c>
      <c r="N58" s="74"/>
    </row>
    <row r="59" spans="1:18">
      <c r="A59" s="91" t="s">
        <v>127</v>
      </c>
      <c r="N59" s="74"/>
    </row>
    <row r="60" spans="1:18">
      <c r="A60" s="91" t="s">
        <v>212</v>
      </c>
      <c r="N60" s="74"/>
    </row>
    <row r="61" spans="1:18">
      <c r="A61" s="91" t="s">
        <v>138</v>
      </c>
      <c r="N61" s="74"/>
    </row>
    <row r="62" spans="1:18">
      <c r="A62" s="91" t="s">
        <v>96</v>
      </c>
      <c r="N62" s="74"/>
    </row>
    <row r="63" spans="1:18">
      <c r="A63" s="91" t="s">
        <v>149</v>
      </c>
      <c r="N63" s="74"/>
    </row>
    <row r="64" spans="1:18">
      <c r="A64" s="91" t="s">
        <v>198</v>
      </c>
      <c r="N64" s="74"/>
    </row>
    <row r="65" spans="1:14">
      <c r="A65" s="91" t="s">
        <v>199</v>
      </c>
      <c r="N65" s="74"/>
    </row>
    <row r="66" spans="1:14">
      <c r="A66" s="91" t="s">
        <v>76</v>
      </c>
      <c r="N66" s="74"/>
    </row>
    <row r="67" spans="1:14">
      <c r="A67" s="61"/>
      <c r="N67" s="74"/>
    </row>
    <row r="68" spans="1:14">
      <c r="A68" s="61"/>
      <c r="N68" s="74"/>
    </row>
    <row r="69" spans="1:14">
      <c r="N69" s="74"/>
    </row>
    <row r="70" spans="1:14">
      <c r="N70" s="74"/>
    </row>
    <row r="71" spans="1:14">
      <c r="M71" s="84"/>
      <c r="N71" s="74"/>
    </row>
    <row r="85" spans="14:14">
      <c r="N85" s="84"/>
    </row>
  </sheetData>
  <mergeCells count="1">
    <mergeCell ref="A1:M1"/>
  </mergeCells>
  <pageMargins left="1" right="0.5" top="1" bottom="1" header="0.5" footer="0.5"/>
  <pageSetup scale="47" orientation="landscape" r:id="rId1"/>
  <headerFooter alignWithMargins="0">
    <oddFooter>&amp;LF:\Refracto\Reg-Preamble\&amp;F&amp;C&amp;A&amp;R&amp;D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5"/>
  <sheetViews>
    <sheetView showGridLines="0" zoomScaleNormal="100" workbookViewId="0">
      <pane xSplit="1" ySplit="5" topLeftCell="F6" activePane="bottomRight" state="frozen"/>
      <selection pane="topRight" activeCell="B1" sqref="B1"/>
      <selection pane="bottomLeft" activeCell="A8" sqref="A8"/>
      <selection pane="bottomRight" activeCell="D23" sqref="D23"/>
    </sheetView>
  </sheetViews>
  <sheetFormatPr defaultRowHeight="12.75"/>
  <cols>
    <col min="1" max="1" width="72.7109375" style="12" customWidth="1"/>
    <col min="2" max="4" width="11.7109375" style="90" customWidth="1"/>
    <col min="5" max="13" width="11.7109375" style="12" customWidth="1"/>
    <col min="14" max="14" width="3.28515625" style="12" customWidth="1"/>
    <col min="15" max="16384" width="9.140625" style="12"/>
  </cols>
  <sheetData>
    <row r="1" spans="1:18">
      <c r="A1" s="164" t="s">
        <v>204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8">
      <c r="A2" s="92"/>
      <c r="B2" s="85"/>
      <c r="C2" s="85"/>
      <c r="D2" s="85"/>
      <c r="M2" s="97"/>
    </row>
    <row r="3" spans="1:18">
      <c r="A3" s="53"/>
      <c r="B3" s="109" t="s">
        <v>0</v>
      </c>
      <c r="C3" s="109" t="s">
        <v>17</v>
      </c>
      <c r="D3" s="109" t="s">
        <v>100</v>
      </c>
      <c r="E3" s="69" t="s">
        <v>3</v>
      </c>
      <c r="F3" s="69" t="s">
        <v>128</v>
      </c>
      <c r="G3" s="69" t="s">
        <v>5</v>
      </c>
      <c r="H3" s="69" t="s">
        <v>6</v>
      </c>
      <c r="I3" s="69" t="s">
        <v>8</v>
      </c>
      <c r="J3" s="69" t="s">
        <v>120</v>
      </c>
      <c r="K3" s="69" t="s">
        <v>121</v>
      </c>
      <c r="L3" s="69" t="s">
        <v>122</v>
      </c>
      <c r="M3" s="110" t="s">
        <v>123</v>
      </c>
      <c r="N3" s="70"/>
    </row>
    <row r="4" spans="1:18" ht="63.75">
      <c r="A4" s="71"/>
      <c r="B4" s="111" t="s">
        <v>166</v>
      </c>
      <c r="C4" s="111" t="s">
        <v>167</v>
      </c>
      <c r="D4" s="111" t="s">
        <v>168</v>
      </c>
      <c r="E4" s="108" t="s">
        <v>169</v>
      </c>
      <c r="F4" s="108" t="s">
        <v>170</v>
      </c>
      <c r="G4" s="108" t="s">
        <v>171</v>
      </c>
      <c r="H4" s="108" t="s">
        <v>172</v>
      </c>
      <c r="I4" s="108" t="s">
        <v>173</v>
      </c>
      <c r="J4" s="108" t="s">
        <v>174</v>
      </c>
      <c r="K4" s="108" t="s">
        <v>175</v>
      </c>
      <c r="L4" s="108" t="s">
        <v>176</v>
      </c>
      <c r="M4" s="112" t="s">
        <v>177</v>
      </c>
      <c r="N4" s="70"/>
    </row>
    <row r="5" spans="1:18" ht="13.5" thickBot="1">
      <c r="A5" s="72"/>
      <c r="B5" s="86"/>
      <c r="C5" s="86"/>
      <c r="D5" s="86"/>
      <c r="E5" s="58"/>
      <c r="F5" s="58" t="s">
        <v>130</v>
      </c>
      <c r="G5" s="58"/>
      <c r="H5" s="58" t="s">
        <v>131</v>
      </c>
      <c r="I5" s="58" t="s">
        <v>132</v>
      </c>
      <c r="J5" s="58" t="s">
        <v>133</v>
      </c>
      <c r="K5" s="58"/>
      <c r="L5" s="58" t="s">
        <v>124</v>
      </c>
      <c r="M5" s="113" t="s">
        <v>125</v>
      </c>
      <c r="N5" s="70"/>
    </row>
    <row r="6" spans="1:18">
      <c r="A6" s="114" t="s">
        <v>9</v>
      </c>
      <c r="B6" s="115" t="s">
        <v>63</v>
      </c>
      <c r="C6" s="115"/>
      <c r="D6" s="115"/>
      <c r="E6" s="116"/>
      <c r="F6" s="116"/>
      <c r="G6" s="116"/>
      <c r="H6" s="116"/>
      <c r="I6" s="116"/>
      <c r="J6" s="116"/>
      <c r="K6" s="114"/>
      <c r="L6" s="117"/>
      <c r="M6" s="114"/>
      <c r="N6" s="52"/>
    </row>
    <row r="7" spans="1:18">
      <c r="A7" s="45" t="s">
        <v>10</v>
      </c>
      <c r="B7" s="118" t="s">
        <v>63</v>
      </c>
      <c r="C7" s="118"/>
      <c r="D7" s="118"/>
      <c r="E7" s="57"/>
      <c r="F7" s="57"/>
      <c r="G7" s="57"/>
      <c r="H7" s="57"/>
      <c r="I7" s="57"/>
      <c r="J7" s="57"/>
      <c r="K7" s="45"/>
      <c r="L7" s="76"/>
      <c r="M7" s="45"/>
      <c r="N7" s="52"/>
    </row>
    <row r="8" spans="1:18">
      <c r="A8" s="45" t="s">
        <v>126</v>
      </c>
      <c r="B8" s="87"/>
      <c r="C8" s="87"/>
      <c r="D8" s="87"/>
      <c r="E8" s="57"/>
      <c r="F8" s="57"/>
      <c r="G8" s="57"/>
      <c r="H8" s="57"/>
      <c r="I8" s="57"/>
      <c r="J8" s="57"/>
      <c r="K8" s="50"/>
      <c r="L8" s="98"/>
      <c r="M8" s="45"/>
      <c r="N8" s="74"/>
    </row>
    <row r="9" spans="1:18">
      <c r="A9" s="45" t="s">
        <v>95</v>
      </c>
      <c r="B9" s="87">
        <v>20</v>
      </c>
      <c r="C9" s="87"/>
      <c r="D9" s="87"/>
      <c r="E9" s="57">
        <v>1</v>
      </c>
      <c r="F9" s="57">
        <f>B9*E9</f>
        <v>20</v>
      </c>
      <c r="G9" s="57">
        <v>0</v>
      </c>
      <c r="H9" s="57">
        <f>F9*G9</f>
        <v>0</v>
      </c>
      <c r="I9" s="57">
        <f>0.2*G9</f>
        <v>0</v>
      </c>
      <c r="J9" s="57">
        <f>0.1*H9</f>
        <v>0</v>
      </c>
      <c r="K9" s="98">
        <f>(H9*'Burden Table Inputs'!$C$25)+(I9*'Burden Table Inputs'!$C$26)+(J9*'Burden Table Inputs'!$C$27)</f>
        <v>0</v>
      </c>
      <c r="L9" s="98">
        <f>((C9+D9)*E9*G9)</f>
        <v>0</v>
      </c>
      <c r="M9" s="45">
        <v>0</v>
      </c>
      <c r="N9" s="74"/>
      <c r="R9" s="49"/>
    </row>
    <row r="10" spans="1:18">
      <c r="A10" s="45" t="s">
        <v>11</v>
      </c>
      <c r="B10" s="119"/>
      <c r="C10" s="119"/>
      <c r="D10" s="119"/>
      <c r="E10" s="75"/>
      <c r="F10" s="75"/>
      <c r="G10" s="75"/>
      <c r="H10" s="75"/>
      <c r="I10" s="75"/>
      <c r="J10" s="75"/>
      <c r="K10" s="99"/>
      <c r="L10" s="99"/>
      <c r="M10" s="99"/>
      <c r="N10" s="74"/>
    </row>
    <row r="11" spans="1:18">
      <c r="A11" s="45" t="s">
        <v>214</v>
      </c>
      <c r="B11" s="87">
        <v>15</v>
      </c>
      <c r="C11" s="76">
        <f>+'Year 1 Resp'!C11</f>
        <v>200000</v>
      </c>
      <c r="D11" s="87"/>
      <c r="E11" s="57">
        <v>3</v>
      </c>
      <c r="F11" s="57">
        <f t="shared" ref="F11:F49" si="0">B11*E11</f>
        <v>45</v>
      </c>
      <c r="G11" s="57">
        <v>0</v>
      </c>
      <c r="H11" s="57">
        <f t="shared" ref="H11:H49" si="1">F11*G11</f>
        <v>0</v>
      </c>
      <c r="I11" s="57">
        <f>0.5*G11</f>
        <v>0</v>
      </c>
      <c r="J11" s="57">
        <f t="shared" ref="J11:J50" si="2">0.1*H11</f>
        <v>0</v>
      </c>
      <c r="K11" s="98">
        <f>(H11*'Burden Table Inputs'!$C$25)+(I11*'Burden Table Inputs'!$C$26)+(J11*'Burden Table Inputs'!$C$27)</f>
        <v>0</v>
      </c>
      <c r="L11" s="98">
        <f>((C11+D11)*E11*G11)</f>
        <v>0</v>
      </c>
      <c r="M11" s="45">
        <f>E11*G11</f>
        <v>0</v>
      </c>
      <c r="N11" s="74"/>
    </row>
    <row r="12" spans="1:18">
      <c r="A12" s="45" t="s">
        <v>215</v>
      </c>
      <c r="B12" s="87">
        <v>15</v>
      </c>
      <c r="C12" s="76">
        <v>52000</v>
      </c>
      <c r="D12" s="76"/>
      <c r="E12" s="57">
        <v>2</v>
      </c>
      <c r="F12" s="57">
        <f t="shared" si="0"/>
        <v>30</v>
      </c>
      <c r="G12" s="57">
        <v>0</v>
      </c>
      <c r="H12" s="57">
        <f t="shared" si="1"/>
        <v>0</v>
      </c>
      <c r="I12" s="57">
        <f t="shared" ref="I12:I50" si="3">0.5*G12</f>
        <v>0</v>
      </c>
      <c r="J12" s="57">
        <f t="shared" si="2"/>
        <v>0</v>
      </c>
      <c r="K12" s="98">
        <f>(H12*'Burden Table Inputs'!$C$25)+(I12*'Burden Table Inputs'!$C$26)+(J12*'Burden Table Inputs'!$C$27)</f>
        <v>0</v>
      </c>
      <c r="L12" s="98">
        <f>((C12+D12)*E12*G12)</f>
        <v>0</v>
      </c>
      <c r="M12" s="45">
        <f>E12*G12</f>
        <v>0</v>
      </c>
      <c r="N12" s="74"/>
    </row>
    <row r="13" spans="1:18">
      <c r="A13" s="45" t="s">
        <v>129</v>
      </c>
      <c r="B13" s="87">
        <v>20</v>
      </c>
      <c r="C13" s="76">
        <v>10000</v>
      </c>
      <c r="D13" s="76"/>
      <c r="E13" s="57">
        <v>4.5</v>
      </c>
      <c r="F13" s="57">
        <f t="shared" si="0"/>
        <v>90</v>
      </c>
      <c r="G13" s="57">
        <v>0</v>
      </c>
      <c r="H13" s="57">
        <f t="shared" si="1"/>
        <v>0</v>
      </c>
      <c r="I13" s="57">
        <f t="shared" si="3"/>
        <v>0</v>
      </c>
      <c r="J13" s="57">
        <f t="shared" si="2"/>
        <v>0</v>
      </c>
      <c r="K13" s="98">
        <f>(H13*'Burden Table Inputs'!$C$25)+(I13*'Burden Table Inputs'!$C$26)+(J13*'Burden Table Inputs'!$C$27)</f>
        <v>0</v>
      </c>
      <c r="L13" s="98">
        <f t="shared" ref="L13:L50" si="4">((C13+D13)*E13*G13)</f>
        <v>0</v>
      </c>
      <c r="M13" s="45">
        <f>E13*G13</f>
        <v>0</v>
      </c>
      <c r="N13" s="74"/>
    </row>
    <row r="14" spans="1:18">
      <c r="A14" s="45" t="s">
        <v>136</v>
      </c>
      <c r="B14" s="87">
        <v>4</v>
      </c>
      <c r="C14" s="76">
        <v>2000</v>
      </c>
      <c r="D14" s="76"/>
      <c r="E14" s="57">
        <v>1.5</v>
      </c>
      <c r="F14" s="57">
        <f t="shared" si="0"/>
        <v>6</v>
      </c>
      <c r="G14" s="57">
        <v>0</v>
      </c>
      <c r="H14" s="57">
        <f t="shared" si="1"/>
        <v>0</v>
      </c>
      <c r="I14" s="57">
        <f t="shared" si="3"/>
        <v>0</v>
      </c>
      <c r="J14" s="57">
        <f t="shared" si="2"/>
        <v>0</v>
      </c>
      <c r="K14" s="98">
        <f>(H14*'Burden Table Inputs'!$C$25)+(I14*'Burden Table Inputs'!$C$26)+(J14*'Burden Table Inputs'!$C$27)</f>
        <v>0</v>
      </c>
      <c r="L14" s="98">
        <f t="shared" si="4"/>
        <v>0</v>
      </c>
      <c r="M14" s="45">
        <f>E14*G14</f>
        <v>0</v>
      </c>
      <c r="N14" s="74"/>
    </row>
    <row r="15" spans="1:18">
      <c r="A15" s="45" t="s">
        <v>101</v>
      </c>
      <c r="B15" s="87">
        <v>2</v>
      </c>
      <c r="C15" s="76"/>
      <c r="D15" s="76">
        <v>200</v>
      </c>
      <c r="E15" s="57">
        <v>3</v>
      </c>
      <c r="F15" s="57">
        <f t="shared" si="0"/>
        <v>6</v>
      </c>
      <c r="G15" s="57">
        <v>2</v>
      </c>
      <c r="H15" s="57">
        <f t="shared" si="1"/>
        <v>12</v>
      </c>
      <c r="I15" s="57">
        <f t="shared" si="3"/>
        <v>1</v>
      </c>
      <c r="J15" s="57">
        <f t="shared" si="2"/>
        <v>1.2000000000000002</v>
      </c>
      <c r="K15" s="98">
        <f>(H15*'Burden Table Inputs'!$C$25)+(I15*'Burden Table Inputs'!$C$26)+(J15*'Burden Table Inputs'!$C$27)</f>
        <v>1519.8999999999999</v>
      </c>
      <c r="L15" s="98">
        <f t="shared" si="4"/>
        <v>1200</v>
      </c>
      <c r="M15" s="45">
        <v>0</v>
      </c>
      <c r="N15" s="74"/>
    </row>
    <row r="16" spans="1:18">
      <c r="A16" s="45" t="s">
        <v>102</v>
      </c>
      <c r="B16" s="87">
        <v>0.25</v>
      </c>
      <c r="C16" s="76"/>
      <c r="D16" s="76"/>
      <c r="E16" s="57">
        <v>365</v>
      </c>
      <c r="F16" s="57">
        <f t="shared" si="0"/>
        <v>91.25</v>
      </c>
      <c r="G16" s="57">
        <v>1</v>
      </c>
      <c r="H16" s="57">
        <f t="shared" si="1"/>
        <v>91.25</v>
      </c>
      <c r="I16" s="57">
        <f t="shared" si="3"/>
        <v>0.5</v>
      </c>
      <c r="J16" s="57">
        <f t="shared" si="2"/>
        <v>9.125</v>
      </c>
      <c r="K16" s="98">
        <f>(H16*'Burden Table Inputs'!$C$28)+(I16*'Burden Table Inputs'!$C$26)+(J16*'Burden Table Inputs'!$C$27)</f>
        <v>6268.7387500000004</v>
      </c>
      <c r="L16" s="98">
        <f t="shared" si="4"/>
        <v>0</v>
      </c>
      <c r="M16" s="45">
        <v>0</v>
      </c>
      <c r="N16" s="74"/>
    </row>
    <row r="17" spans="1:14">
      <c r="A17" s="45" t="s">
        <v>103</v>
      </c>
      <c r="B17" s="87">
        <v>0.4</v>
      </c>
      <c r="C17" s="76"/>
      <c r="D17" s="76"/>
      <c r="E17" s="57">
        <v>365</v>
      </c>
      <c r="F17" s="57">
        <f t="shared" si="0"/>
        <v>146</v>
      </c>
      <c r="G17" s="57">
        <v>1</v>
      </c>
      <c r="H17" s="57">
        <f t="shared" si="1"/>
        <v>146</v>
      </c>
      <c r="I17" s="57">
        <f t="shared" si="3"/>
        <v>0.5</v>
      </c>
      <c r="J17" s="57">
        <f t="shared" si="2"/>
        <v>14.600000000000001</v>
      </c>
      <c r="K17" s="98">
        <f>(H17*'Burden Table Inputs'!$C$85)+(I17*'Burden Table Inputs'!$C$26)+(J17*'Burden Table Inputs'!$C$27)</f>
        <v>675.57</v>
      </c>
      <c r="L17" s="98">
        <f t="shared" si="4"/>
        <v>0</v>
      </c>
      <c r="M17" s="45">
        <v>0</v>
      </c>
      <c r="N17" s="74"/>
    </row>
    <row r="18" spans="1:14">
      <c r="A18" s="51" t="s">
        <v>104</v>
      </c>
      <c r="B18" s="87"/>
      <c r="C18" s="76"/>
      <c r="D18" s="76"/>
      <c r="E18" s="57"/>
      <c r="F18" s="57"/>
      <c r="G18" s="57"/>
      <c r="H18" s="57"/>
      <c r="I18" s="57"/>
      <c r="J18" s="57"/>
      <c r="K18" s="76"/>
      <c r="L18" s="76"/>
      <c r="M18" s="45"/>
      <c r="N18" s="74"/>
    </row>
    <row r="19" spans="1:14">
      <c r="A19" s="51" t="s">
        <v>105</v>
      </c>
      <c r="B19" s="87">
        <v>2</v>
      </c>
      <c r="C19" s="76"/>
      <c r="D19" s="76">
        <f>+'Year 1 Resp'!D19</f>
        <v>50000</v>
      </c>
      <c r="E19" s="57">
        <v>1</v>
      </c>
      <c r="F19" s="57">
        <v>0</v>
      </c>
      <c r="G19" s="57">
        <v>0</v>
      </c>
      <c r="H19" s="57">
        <f t="shared" si="1"/>
        <v>0</v>
      </c>
      <c r="I19" s="57">
        <f t="shared" si="3"/>
        <v>0</v>
      </c>
      <c r="J19" s="57">
        <f t="shared" si="2"/>
        <v>0</v>
      </c>
      <c r="K19" s="98">
        <f>(H19*'Burden Table Inputs'!$C$25)+(I19*'Burden Table Inputs'!$C$26)+(J19*'Burden Table Inputs'!$C$27)</f>
        <v>0</v>
      </c>
      <c r="L19" s="98">
        <f t="shared" si="4"/>
        <v>0</v>
      </c>
      <c r="M19" s="45">
        <v>0</v>
      </c>
      <c r="N19" s="74"/>
    </row>
    <row r="20" spans="1:14">
      <c r="A20" s="51" t="s">
        <v>106</v>
      </c>
      <c r="B20" s="57">
        <v>2</v>
      </c>
      <c r="C20" s="76"/>
      <c r="D20" s="76">
        <f>+'Year 1 Resp'!D20</f>
        <v>18000</v>
      </c>
      <c r="E20" s="57">
        <v>1</v>
      </c>
      <c r="F20" s="57">
        <f t="shared" si="0"/>
        <v>2</v>
      </c>
      <c r="G20" s="57">
        <v>1</v>
      </c>
      <c r="H20" s="57">
        <f t="shared" si="1"/>
        <v>2</v>
      </c>
      <c r="I20" s="57">
        <f t="shared" si="3"/>
        <v>0.5</v>
      </c>
      <c r="J20" s="57">
        <f t="shared" si="2"/>
        <v>0.2</v>
      </c>
      <c r="K20" s="76">
        <f>(H20*'Burden Table Inputs'!$C$25)+(I20*'Burden Table Inputs'!$C$26)+(J20*'Burden Table Inputs'!$C$27)</f>
        <v>297.33000000000004</v>
      </c>
      <c r="L20" s="76">
        <f t="shared" si="4"/>
        <v>18000</v>
      </c>
      <c r="M20" s="45">
        <v>0</v>
      </c>
      <c r="N20" s="74"/>
    </row>
    <row r="21" spans="1:14">
      <c r="A21" s="51" t="s">
        <v>118</v>
      </c>
      <c r="B21" s="57"/>
      <c r="C21" s="76"/>
      <c r="D21" s="76"/>
      <c r="E21" s="57"/>
      <c r="F21" s="57"/>
      <c r="G21" s="57"/>
      <c r="H21" s="57"/>
      <c r="I21" s="57"/>
      <c r="J21" s="57"/>
      <c r="K21" s="76"/>
      <c r="L21" s="76"/>
      <c r="M21" s="45"/>
      <c r="N21" s="74"/>
    </row>
    <row r="22" spans="1:14">
      <c r="A22" s="51" t="s">
        <v>105</v>
      </c>
      <c r="B22" s="57">
        <v>2</v>
      </c>
      <c r="C22" s="76"/>
      <c r="D22" s="76">
        <f>+'Year 1 Resp'!D22</f>
        <v>20000</v>
      </c>
      <c r="E22" s="57">
        <v>1</v>
      </c>
      <c r="F22" s="57">
        <v>0</v>
      </c>
      <c r="G22" s="57">
        <v>0</v>
      </c>
      <c r="H22" s="57">
        <f t="shared" si="1"/>
        <v>0</v>
      </c>
      <c r="I22" s="57">
        <f t="shared" si="3"/>
        <v>0</v>
      </c>
      <c r="J22" s="57">
        <f t="shared" si="2"/>
        <v>0</v>
      </c>
      <c r="K22" s="76">
        <f>(H22*'Burden Table Inputs'!$C$25)+(I22*'Burden Table Inputs'!$C$26)+(J22*'Burden Table Inputs'!$C$27)</f>
        <v>0</v>
      </c>
      <c r="L22" s="76">
        <f t="shared" si="4"/>
        <v>0</v>
      </c>
      <c r="M22" s="45">
        <v>0</v>
      </c>
      <c r="N22" s="74"/>
    </row>
    <row r="23" spans="1:14">
      <c r="A23" s="51" t="s">
        <v>106</v>
      </c>
      <c r="B23" s="57">
        <v>2</v>
      </c>
      <c r="C23" s="76"/>
      <c r="D23" s="76">
        <f>+'Year 1 Resp'!D23</f>
        <v>6200</v>
      </c>
      <c r="E23" s="57">
        <v>1</v>
      </c>
      <c r="F23" s="57">
        <f t="shared" si="0"/>
        <v>2</v>
      </c>
      <c r="G23" s="57">
        <v>1</v>
      </c>
      <c r="H23" s="57">
        <f t="shared" si="1"/>
        <v>2</v>
      </c>
      <c r="I23" s="57">
        <f t="shared" si="3"/>
        <v>0.5</v>
      </c>
      <c r="J23" s="57">
        <f t="shared" si="2"/>
        <v>0.2</v>
      </c>
      <c r="K23" s="76">
        <f>(H23*'Burden Table Inputs'!$C$25)+(I23*'Burden Table Inputs'!$C$26)+(J23*'Burden Table Inputs'!$C$27)</f>
        <v>297.33000000000004</v>
      </c>
      <c r="L23" s="76">
        <f t="shared" si="4"/>
        <v>6200</v>
      </c>
      <c r="M23" s="45">
        <v>0</v>
      </c>
      <c r="N23" s="74"/>
    </row>
    <row r="24" spans="1:14">
      <c r="A24" s="51" t="s">
        <v>117</v>
      </c>
      <c r="B24" s="57"/>
      <c r="C24" s="76"/>
      <c r="D24" s="76"/>
      <c r="E24" s="57"/>
      <c r="F24" s="57"/>
      <c r="G24" s="57"/>
      <c r="H24" s="57"/>
      <c r="I24" s="57"/>
      <c r="J24" s="57"/>
      <c r="K24" s="76"/>
      <c r="L24" s="76"/>
      <c r="M24" s="45"/>
      <c r="N24" s="74"/>
    </row>
    <row r="25" spans="1:14">
      <c r="A25" s="51" t="s">
        <v>105</v>
      </c>
      <c r="B25" s="57">
        <v>4</v>
      </c>
      <c r="C25" s="76"/>
      <c r="D25" s="76">
        <f>+'Year 1 Resp'!D25</f>
        <v>265000</v>
      </c>
      <c r="E25" s="57">
        <v>0.5</v>
      </c>
      <c r="F25" s="57">
        <v>0</v>
      </c>
      <c r="G25" s="57">
        <v>0</v>
      </c>
      <c r="H25" s="57">
        <f t="shared" si="1"/>
        <v>0</v>
      </c>
      <c r="I25" s="57">
        <f t="shared" si="3"/>
        <v>0</v>
      </c>
      <c r="J25" s="57">
        <f t="shared" si="2"/>
        <v>0</v>
      </c>
      <c r="K25" s="76">
        <f>(H25*'Burden Table Inputs'!$C$25)+(I25*'Burden Table Inputs'!$C$26)+(J25*'Burden Table Inputs'!$C$27)</f>
        <v>0</v>
      </c>
      <c r="L25" s="76">
        <f t="shared" si="4"/>
        <v>0</v>
      </c>
      <c r="M25" s="45">
        <v>0</v>
      </c>
      <c r="N25" s="74"/>
    </row>
    <row r="26" spans="1:14">
      <c r="A26" s="51" t="s">
        <v>106</v>
      </c>
      <c r="B26" s="57">
        <v>4</v>
      </c>
      <c r="C26" s="76"/>
      <c r="D26" s="76">
        <f>+'Year 1 Resp'!D26</f>
        <v>94000</v>
      </c>
      <c r="E26" s="57">
        <v>0.5</v>
      </c>
      <c r="F26" s="57">
        <f t="shared" si="0"/>
        <v>2</v>
      </c>
      <c r="G26" s="57">
        <v>2</v>
      </c>
      <c r="H26" s="57">
        <f t="shared" si="1"/>
        <v>4</v>
      </c>
      <c r="I26" s="57">
        <f t="shared" si="3"/>
        <v>1</v>
      </c>
      <c r="J26" s="57">
        <f t="shared" si="2"/>
        <v>0.4</v>
      </c>
      <c r="K26" s="76">
        <f>(H26*'Burden Table Inputs'!$C$25)+(I26*'Burden Table Inputs'!$C$26)+(J26*'Burden Table Inputs'!$C$27)</f>
        <v>594.66000000000008</v>
      </c>
      <c r="L26" s="76">
        <f t="shared" si="4"/>
        <v>94000</v>
      </c>
      <c r="M26" s="45">
        <v>0</v>
      </c>
      <c r="N26" s="74"/>
    </row>
    <row r="27" spans="1:14">
      <c r="A27" s="51" t="s">
        <v>119</v>
      </c>
      <c r="B27" s="57"/>
      <c r="C27" s="76"/>
      <c r="D27" s="76"/>
      <c r="E27" s="57"/>
      <c r="F27" s="57"/>
      <c r="G27" s="57"/>
      <c r="H27" s="57"/>
      <c r="I27" s="57"/>
      <c r="J27" s="57"/>
      <c r="K27" s="76"/>
      <c r="L27" s="76"/>
      <c r="M27" s="45"/>
      <c r="N27" s="74"/>
    </row>
    <row r="28" spans="1:14">
      <c r="A28" s="51" t="s">
        <v>105</v>
      </c>
      <c r="B28" s="57">
        <v>2</v>
      </c>
      <c r="C28" s="76"/>
      <c r="D28" s="76">
        <v>2300</v>
      </c>
      <c r="E28" s="57">
        <v>2</v>
      </c>
      <c r="F28" s="57">
        <v>0</v>
      </c>
      <c r="G28" s="57">
        <v>0</v>
      </c>
      <c r="H28" s="57">
        <f t="shared" si="1"/>
        <v>0</v>
      </c>
      <c r="I28" s="57">
        <f t="shared" si="3"/>
        <v>0</v>
      </c>
      <c r="J28" s="57">
        <f t="shared" si="2"/>
        <v>0</v>
      </c>
      <c r="K28" s="76">
        <f>(H28*'Burden Table Inputs'!$C$25)+(I28*'Burden Table Inputs'!$C$26)+(J28*'Burden Table Inputs'!$C$27)</f>
        <v>0</v>
      </c>
      <c r="L28" s="76">
        <f t="shared" si="4"/>
        <v>0</v>
      </c>
      <c r="M28" s="45">
        <v>0</v>
      </c>
      <c r="N28" s="74"/>
    </row>
    <row r="29" spans="1:14">
      <c r="A29" s="51" t="s">
        <v>106</v>
      </c>
      <c r="B29" s="57">
        <v>2</v>
      </c>
      <c r="C29" s="76"/>
      <c r="D29" s="76">
        <v>230</v>
      </c>
      <c r="E29" s="57">
        <v>2</v>
      </c>
      <c r="F29" s="57">
        <f t="shared" si="0"/>
        <v>4</v>
      </c>
      <c r="G29" s="57">
        <v>2</v>
      </c>
      <c r="H29" s="57">
        <f t="shared" si="1"/>
        <v>8</v>
      </c>
      <c r="I29" s="57">
        <f t="shared" si="3"/>
        <v>1</v>
      </c>
      <c r="J29" s="57">
        <f t="shared" si="2"/>
        <v>0.8</v>
      </c>
      <c r="K29" s="76">
        <f>(H29*'Burden Table Inputs'!$C$25)+(I29*'Burden Table Inputs'!$C$26)+(J29*'Burden Table Inputs'!$C$27)</f>
        <v>1057.28</v>
      </c>
      <c r="L29" s="76">
        <f t="shared" si="4"/>
        <v>920</v>
      </c>
      <c r="M29" s="45">
        <v>0</v>
      </c>
      <c r="N29" s="74"/>
    </row>
    <row r="30" spans="1:14">
      <c r="A30" s="45" t="s">
        <v>12</v>
      </c>
      <c r="B30" s="118" t="s">
        <v>137</v>
      </c>
      <c r="C30" s="120"/>
      <c r="D30" s="120"/>
      <c r="E30" s="57"/>
      <c r="F30" s="57"/>
      <c r="G30" s="57"/>
      <c r="H30" s="57"/>
      <c r="I30" s="57"/>
      <c r="J30" s="57"/>
      <c r="K30" s="98"/>
      <c r="L30" s="98">
        <f t="shared" si="4"/>
        <v>0</v>
      </c>
      <c r="M30" s="45"/>
      <c r="N30" s="74"/>
    </row>
    <row r="31" spans="1:14">
      <c r="A31" s="45" t="s">
        <v>13</v>
      </c>
      <c r="B31" s="118" t="s">
        <v>137</v>
      </c>
      <c r="C31" s="120"/>
      <c r="D31" s="120"/>
      <c r="E31" s="57"/>
      <c r="F31" s="57"/>
      <c r="G31" s="57"/>
      <c r="H31" s="57"/>
      <c r="I31" s="57"/>
      <c r="J31" s="57"/>
      <c r="K31" s="98"/>
      <c r="L31" s="98">
        <f t="shared" si="4"/>
        <v>0</v>
      </c>
      <c r="M31" s="45"/>
      <c r="N31" s="74"/>
    </row>
    <row r="32" spans="1:14">
      <c r="A32" s="45" t="s">
        <v>14</v>
      </c>
      <c r="B32" s="118"/>
      <c r="C32" s="120"/>
      <c r="D32" s="120"/>
      <c r="E32" s="57"/>
      <c r="F32" s="57"/>
      <c r="G32" s="57"/>
      <c r="H32" s="57"/>
      <c r="I32" s="57"/>
      <c r="J32" s="57"/>
      <c r="K32" s="98"/>
      <c r="L32" s="98">
        <f t="shared" si="4"/>
        <v>0</v>
      </c>
      <c r="M32" s="45"/>
      <c r="N32" s="74"/>
    </row>
    <row r="33" spans="1:14">
      <c r="A33" s="45" t="s">
        <v>147</v>
      </c>
      <c r="B33" s="118" t="s">
        <v>63</v>
      </c>
      <c r="C33" s="76"/>
      <c r="D33" s="76"/>
      <c r="E33" s="57"/>
      <c r="F33" s="57"/>
      <c r="G33" s="57"/>
      <c r="H33" s="57"/>
      <c r="I33" s="57"/>
      <c r="J33" s="57"/>
      <c r="K33" s="98"/>
      <c r="L33" s="98"/>
      <c r="M33" s="45"/>
      <c r="N33" s="74"/>
    </row>
    <row r="34" spans="1:14">
      <c r="A34" s="45" t="s">
        <v>146</v>
      </c>
      <c r="B34" s="57">
        <v>4</v>
      </c>
      <c r="C34" s="76"/>
      <c r="D34" s="76"/>
      <c r="E34" s="57">
        <v>1</v>
      </c>
      <c r="F34" s="57">
        <f t="shared" si="0"/>
        <v>4</v>
      </c>
      <c r="G34" s="57">
        <v>0</v>
      </c>
      <c r="H34" s="57">
        <f t="shared" si="1"/>
        <v>0</v>
      </c>
      <c r="I34" s="57">
        <f t="shared" si="3"/>
        <v>0</v>
      </c>
      <c r="J34" s="57">
        <f t="shared" si="2"/>
        <v>0</v>
      </c>
      <c r="K34" s="98">
        <f>(H34*'Burden Table Inputs'!$C$25)+(I34*'Burden Table Inputs'!$C$26)+(J34*'Burden Table Inputs'!$C$27)</f>
        <v>0</v>
      </c>
      <c r="L34" s="98">
        <f t="shared" si="4"/>
        <v>0</v>
      </c>
      <c r="M34" s="45">
        <f>E34*G34</f>
        <v>0</v>
      </c>
      <c r="N34" s="74"/>
    </row>
    <row r="35" spans="1:14">
      <c r="A35" s="45" t="s">
        <v>145</v>
      </c>
      <c r="B35" s="57">
        <v>10</v>
      </c>
      <c r="C35" s="76"/>
      <c r="D35" s="76"/>
      <c r="E35" s="57">
        <v>1</v>
      </c>
      <c r="F35" s="57">
        <f t="shared" si="0"/>
        <v>10</v>
      </c>
      <c r="G35" s="57">
        <v>2</v>
      </c>
      <c r="H35" s="57">
        <f t="shared" si="1"/>
        <v>20</v>
      </c>
      <c r="I35" s="57">
        <f t="shared" si="3"/>
        <v>1</v>
      </c>
      <c r="J35" s="57">
        <f t="shared" si="2"/>
        <v>2</v>
      </c>
      <c r="K35" s="98">
        <f>(H35*'Burden Table Inputs'!$C$25)+(I35*'Burden Table Inputs'!$C$26)+(J35*'Burden Table Inputs'!$C$27)</f>
        <v>2445.14</v>
      </c>
      <c r="L35" s="98">
        <f t="shared" si="4"/>
        <v>0</v>
      </c>
      <c r="M35" s="45">
        <f t="shared" ref="M35:M41" si="5">E35*G35</f>
        <v>2</v>
      </c>
      <c r="N35" s="74"/>
    </row>
    <row r="36" spans="1:14">
      <c r="A36" s="45" t="s">
        <v>144</v>
      </c>
      <c r="B36" s="57">
        <v>10</v>
      </c>
      <c r="C36" s="76"/>
      <c r="D36" s="76"/>
      <c r="E36" s="57">
        <v>1</v>
      </c>
      <c r="F36" s="57">
        <f t="shared" si="0"/>
        <v>10</v>
      </c>
      <c r="G36" s="57">
        <v>2</v>
      </c>
      <c r="H36" s="57">
        <f t="shared" si="1"/>
        <v>20</v>
      </c>
      <c r="I36" s="57">
        <f t="shared" si="3"/>
        <v>1</v>
      </c>
      <c r="J36" s="57">
        <f t="shared" si="2"/>
        <v>2</v>
      </c>
      <c r="K36" s="98">
        <f>(H36*'Burden Table Inputs'!$C$25)+(I36*'Burden Table Inputs'!$C$26)+(J36*'Burden Table Inputs'!$C$27)</f>
        <v>2445.14</v>
      </c>
      <c r="L36" s="98">
        <f t="shared" si="4"/>
        <v>0</v>
      </c>
      <c r="M36" s="45">
        <f t="shared" si="5"/>
        <v>2</v>
      </c>
      <c r="N36" s="74"/>
    </row>
    <row r="37" spans="1:14">
      <c r="A37" s="45" t="s">
        <v>140</v>
      </c>
      <c r="B37" s="57">
        <v>80</v>
      </c>
      <c r="C37" s="76"/>
      <c r="D37" s="76"/>
      <c r="E37" s="57">
        <v>1</v>
      </c>
      <c r="F37" s="57">
        <f t="shared" si="0"/>
        <v>80</v>
      </c>
      <c r="G37" s="57">
        <v>0</v>
      </c>
      <c r="H37" s="57">
        <f t="shared" si="1"/>
        <v>0</v>
      </c>
      <c r="I37" s="57">
        <f t="shared" si="3"/>
        <v>0</v>
      </c>
      <c r="J37" s="57">
        <f t="shared" si="2"/>
        <v>0</v>
      </c>
      <c r="K37" s="98">
        <f>(H37*'Burden Table Inputs'!$C$25)+(I37*'Burden Table Inputs'!$C$26)+(J37*'Burden Table Inputs'!$C$27)</f>
        <v>0</v>
      </c>
      <c r="L37" s="98">
        <f t="shared" si="4"/>
        <v>0</v>
      </c>
      <c r="M37" s="45">
        <f t="shared" si="5"/>
        <v>0</v>
      </c>
      <c r="N37" s="74"/>
    </row>
    <row r="38" spans="1:14">
      <c r="A38" s="45" t="s">
        <v>141</v>
      </c>
      <c r="B38" s="57">
        <v>10</v>
      </c>
      <c r="C38" s="76"/>
      <c r="D38" s="76"/>
      <c r="E38" s="57">
        <v>1</v>
      </c>
      <c r="F38" s="57">
        <f t="shared" si="0"/>
        <v>10</v>
      </c>
      <c r="G38" s="57">
        <v>0</v>
      </c>
      <c r="H38" s="57">
        <f t="shared" si="1"/>
        <v>0</v>
      </c>
      <c r="I38" s="57">
        <f t="shared" si="3"/>
        <v>0</v>
      </c>
      <c r="J38" s="57">
        <f t="shared" si="2"/>
        <v>0</v>
      </c>
      <c r="K38" s="98">
        <f>(H38*'Burden Table Inputs'!$C$25)+(I38*'Burden Table Inputs'!$C$26)+(J38*'Burden Table Inputs'!$C$27)</f>
        <v>0</v>
      </c>
      <c r="L38" s="98">
        <f t="shared" si="4"/>
        <v>0</v>
      </c>
      <c r="M38" s="45">
        <f t="shared" si="5"/>
        <v>0</v>
      </c>
      <c r="N38" s="74"/>
    </row>
    <row r="39" spans="1:14">
      <c r="A39" s="51" t="s">
        <v>142</v>
      </c>
      <c r="B39" s="57">
        <v>10</v>
      </c>
      <c r="C39" s="76"/>
      <c r="D39" s="76"/>
      <c r="E39" s="57">
        <v>1</v>
      </c>
      <c r="F39" s="57">
        <f t="shared" si="0"/>
        <v>10</v>
      </c>
      <c r="G39" s="57">
        <v>0</v>
      </c>
      <c r="H39" s="57">
        <f t="shared" si="1"/>
        <v>0</v>
      </c>
      <c r="I39" s="57">
        <f t="shared" si="3"/>
        <v>0</v>
      </c>
      <c r="J39" s="57">
        <f t="shared" si="2"/>
        <v>0</v>
      </c>
      <c r="K39" s="98">
        <f>(H39*'Burden Table Inputs'!$C$25)+(I39*'Burden Table Inputs'!$C$26)+(J39*'Burden Table Inputs'!$C$27)</f>
        <v>0</v>
      </c>
      <c r="L39" s="98">
        <f t="shared" si="4"/>
        <v>0</v>
      </c>
      <c r="M39" s="45">
        <f t="shared" si="5"/>
        <v>0</v>
      </c>
      <c r="N39" s="74"/>
    </row>
    <row r="40" spans="1:14">
      <c r="A40" s="51" t="s">
        <v>143</v>
      </c>
      <c r="B40" s="57">
        <v>20</v>
      </c>
      <c r="C40" s="87"/>
      <c r="D40" s="87"/>
      <c r="E40" s="121">
        <v>1</v>
      </c>
      <c r="F40" s="57">
        <f t="shared" si="0"/>
        <v>20</v>
      </c>
      <c r="G40" s="121">
        <v>0</v>
      </c>
      <c r="H40" s="45">
        <f t="shared" si="1"/>
        <v>0</v>
      </c>
      <c r="I40" s="45">
        <f t="shared" si="3"/>
        <v>0</v>
      </c>
      <c r="J40" s="45">
        <f t="shared" si="2"/>
        <v>0</v>
      </c>
      <c r="K40" s="76">
        <f>(H40*'Burden Table Inputs'!$C$25)+(I40*'Burden Table Inputs'!$C$26)+(J40*'Burden Table Inputs'!$C$27)</f>
        <v>0</v>
      </c>
      <c r="L40" s="76">
        <f t="shared" si="4"/>
        <v>0</v>
      </c>
      <c r="M40" s="45">
        <f t="shared" si="5"/>
        <v>0</v>
      </c>
      <c r="N40" s="74"/>
    </row>
    <row r="41" spans="1:14">
      <c r="A41" s="51" t="s">
        <v>154</v>
      </c>
      <c r="B41" s="57">
        <v>30</v>
      </c>
      <c r="C41" s="87"/>
      <c r="D41" s="87"/>
      <c r="E41" s="121">
        <v>1</v>
      </c>
      <c r="F41" s="121">
        <f t="shared" si="0"/>
        <v>30</v>
      </c>
      <c r="G41" s="121">
        <v>0</v>
      </c>
      <c r="H41" s="121">
        <f t="shared" si="1"/>
        <v>0</v>
      </c>
      <c r="I41" s="121">
        <f t="shared" si="3"/>
        <v>0</v>
      </c>
      <c r="J41" s="121">
        <f t="shared" si="2"/>
        <v>0</v>
      </c>
      <c r="K41" s="76">
        <f>(H41*'Burden Table Inputs'!$C$25)+(I41*'Burden Table Inputs'!$C$26)+(J41*'Burden Table Inputs'!$C$27)</f>
        <v>0</v>
      </c>
      <c r="L41" s="76">
        <f t="shared" si="4"/>
        <v>0</v>
      </c>
      <c r="M41" s="45">
        <f t="shared" si="5"/>
        <v>0</v>
      </c>
      <c r="N41" s="74"/>
    </row>
    <row r="42" spans="1:14">
      <c r="A42" s="122" t="s">
        <v>155</v>
      </c>
      <c r="B42" s="87"/>
      <c r="C42" s="87"/>
      <c r="D42" s="87"/>
      <c r="E42" s="121">
        <f>SUM(E9:E41)</f>
        <v>762</v>
      </c>
      <c r="F42" s="121">
        <f>SUM(F9:F41)</f>
        <v>618.25</v>
      </c>
      <c r="G42" s="121">
        <f>SUM(G9:G41)</f>
        <v>14</v>
      </c>
      <c r="H42" s="121">
        <f t="shared" ref="H42:M42" si="6">SUM(H9:H41)</f>
        <v>305.25</v>
      </c>
      <c r="I42" s="45">
        <f t="shared" si="6"/>
        <v>7</v>
      </c>
      <c r="J42" s="121">
        <f t="shared" si="6"/>
        <v>30.524999999999999</v>
      </c>
      <c r="K42" s="76">
        <f t="shared" si="6"/>
        <v>15601.088749999999</v>
      </c>
      <c r="L42" s="76">
        <f t="shared" si="6"/>
        <v>120320</v>
      </c>
      <c r="M42" s="45">
        <f t="shared" si="6"/>
        <v>4</v>
      </c>
      <c r="N42" s="74"/>
    </row>
    <row r="43" spans="1:14">
      <c r="A43" s="45" t="s">
        <v>139</v>
      </c>
      <c r="B43" s="119"/>
      <c r="C43" s="123"/>
      <c r="D43" s="123"/>
      <c r="E43" s="75"/>
      <c r="F43" s="75"/>
      <c r="G43" s="75"/>
      <c r="H43" s="75"/>
      <c r="I43" s="75"/>
      <c r="J43" s="75"/>
      <c r="K43" s="99"/>
      <c r="L43" s="99"/>
      <c r="M43" s="99"/>
      <c r="N43" s="74"/>
    </row>
    <row r="44" spans="1:14">
      <c r="A44" s="45" t="s">
        <v>73</v>
      </c>
      <c r="B44" s="118" t="s">
        <v>148</v>
      </c>
      <c r="C44" s="120"/>
      <c r="D44" s="120"/>
      <c r="E44" s="57"/>
      <c r="F44" s="57"/>
      <c r="G44" s="57"/>
      <c r="H44" s="57"/>
      <c r="I44" s="57"/>
      <c r="J44" s="57"/>
      <c r="K44" s="98"/>
      <c r="L44" s="98">
        <f t="shared" si="4"/>
        <v>0</v>
      </c>
      <c r="M44" s="45">
        <v>0</v>
      </c>
      <c r="N44" s="74"/>
    </row>
    <row r="45" spans="1:14">
      <c r="A45" s="45" t="s">
        <v>150</v>
      </c>
      <c r="B45" s="118" t="s">
        <v>63</v>
      </c>
      <c r="C45" s="120"/>
      <c r="D45" s="120"/>
      <c r="E45" s="57"/>
      <c r="F45" s="57"/>
      <c r="G45" s="57"/>
      <c r="H45" s="57"/>
      <c r="I45" s="57"/>
      <c r="J45" s="57"/>
      <c r="K45" s="98"/>
      <c r="L45" s="98">
        <f t="shared" si="4"/>
        <v>0</v>
      </c>
      <c r="M45" s="45">
        <v>0</v>
      </c>
      <c r="N45" s="74"/>
    </row>
    <row r="46" spans="1:14">
      <c r="A46" s="45" t="s">
        <v>151</v>
      </c>
      <c r="B46" s="118" t="s">
        <v>63</v>
      </c>
      <c r="C46" s="120"/>
      <c r="D46" s="120"/>
      <c r="E46" s="57"/>
      <c r="F46" s="57"/>
      <c r="G46" s="57"/>
      <c r="H46" s="57"/>
      <c r="I46" s="57"/>
      <c r="J46" s="57"/>
      <c r="K46" s="98"/>
      <c r="L46" s="98">
        <f t="shared" si="4"/>
        <v>0</v>
      </c>
      <c r="M46" s="45">
        <v>0</v>
      </c>
      <c r="N46" s="74"/>
    </row>
    <row r="47" spans="1:14">
      <c r="A47" s="45" t="s">
        <v>152</v>
      </c>
      <c r="B47" s="119"/>
      <c r="C47" s="123"/>
      <c r="D47" s="123"/>
      <c r="E47" s="75"/>
      <c r="F47" s="75"/>
      <c r="G47" s="75"/>
      <c r="H47" s="75"/>
      <c r="I47" s="75"/>
      <c r="J47" s="75"/>
      <c r="K47" s="99"/>
      <c r="L47" s="99"/>
      <c r="M47" s="99"/>
      <c r="N47" s="74"/>
    </row>
    <row r="48" spans="1:14">
      <c r="A48" s="45" t="s">
        <v>153</v>
      </c>
      <c r="B48" s="57">
        <v>1</v>
      </c>
      <c r="C48" s="76"/>
      <c r="D48" s="76"/>
      <c r="E48" s="57">
        <f>5*12</f>
        <v>60</v>
      </c>
      <c r="F48" s="57">
        <f t="shared" si="0"/>
        <v>60</v>
      </c>
      <c r="G48" s="57">
        <v>0</v>
      </c>
      <c r="H48" s="57">
        <f t="shared" si="1"/>
        <v>0</v>
      </c>
      <c r="I48" s="57">
        <f t="shared" si="3"/>
        <v>0</v>
      </c>
      <c r="J48" s="57">
        <f t="shared" si="2"/>
        <v>0</v>
      </c>
      <c r="K48" s="98">
        <f>(H48*'Burden Table Inputs'!$C$25)+(I48*'Burden Table Inputs'!$C$26)+(J48*'Burden Table Inputs'!$C$27)</f>
        <v>0</v>
      </c>
      <c r="L48" s="98">
        <f t="shared" si="4"/>
        <v>0</v>
      </c>
      <c r="M48" s="45">
        <v>0</v>
      </c>
      <c r="N48" s="74"/>
    </row>
    <row r="49" spans="1:18">
      <c r="A49" s="51" t="s">
        <v>75</v>
      </c>
      <c r="B49" s="140">
        <v>20</v>
      </c>
      <c r="C49" s="120"/>
      <c r="D49" s="120"/>
      <c r="E49" s="57">
        <v>1</v>
      </c>
      <c r="F49" s="57">
        <f t="shared" si="0"/>
        <v>20</v>
      </c>
      <c r="G49" s="57">
        <v>2</v>
      </c>
      <c r="H49" s="57">
        <f t="shared" si="1"/>
        <v>40</v>
      </c>
      <c r="I49" s="57">
        <f t="shared" si="3"/>
        <v>1</v>
      </c>
      <c r="J49" s="57">
        <f t="shared" si="2"/>
        <v>4</v>
      </c>
      <c r="K49" s="98">
        <f>(H49*'Burden Table Inputs'!$C$25)+(I49*'Burden Table Inputs'!$C$26)+(J49*'Burden Table Inputs'!$C$27)</f>
        <v>4758.24</v>
      </c>
      <c r="L49" s="98">
        <f t="shared" si="4"/>
        <v>0</v>
      </c>
      <c r="M49" s="45">
        <v>0</v>
      </c>
      <c r="N49" s="74"/>
    </row>
    <row r="50" spans="1:18" ht="13.5" thickBot="1">
      <c r="A50" s="77" t="s">
        <v>158</v>
      </c>
      <c r="B50" s="124" t="s">
        <v>63</v>
      </c>
      <c r="C50" s="125"/>
      <c r="D50" s="125"/>
      <c r="E50" s="78"/>
      <c r="F50" s="78"/>
      <c r="G50" s="78"/>
      <c r="H50" s="78"/>
      <c r="I50" s="78">
        <f t="shared" si="3"/>
        <v>0</v>
      </c>
      <c r="J50" s="78">
        <f t="shared" si="2"/>
        <v>0</v>
      </c>
      <c r="K50" s="100"/>
      <c r="L50" s="100">
        <f t="shared" si="4"/>
        <v>0</v>
      </c>
      <c r="M50" s="77">
        <v>0</v>
      </c>
      <c r="N50" s="74"/>
    </row>
    <row r="51" spans="1:18" ht="13.5" thickBot="1">
      <c r="A51" s="127" t="s">
        <v>156</v>
      </c>
      <c r="B51" s="128"/>
      <c r="C51" s="129"/>
      <c r="D51" s="129"/>
      <c r="E51" s="131">
        <f>SUM(E48:E50)</f>
        <v>61</v>
      </c>
      <c r="F51" s="130">
        <f>SUM(F48:F50)</f>
        <v>80</v>
      </c>
      <c r="G51" s="130">
        <f>SUM(G48:G50)</f>
        <v>2</v>
      </c>
      <c r="H51" s="130">
        <f t="shared" ref="H51:M51" si="7">SUM(H48:H50)</f>
        <v>40</v>
      </c>
      <c r="I51" s="131">
        <f t="shared" si="7"/>
        <v>1</v>
      </c>
      <c r="J51" s="131">
        <f t="shared" si="7"/>
        <v>4</v>
      </c>
      <c r="K51" s="132">
        <f t="shared" si="7"/>
        <v>4758.24</v>
      </c>
      <c r="L51" s="133">
        <f t="shared" si="7"/>
        <v>0</v>
      </c>
      <c r="M51" s="134">
        <f t="shared" si="7"/>
        <v>0</v>
      </c>
      <c r="N51" s="74"/>
    </row>
    <row r="52" spans="1:18" ht="13.5" thickBot="1">
      <c r="A52" s="127" t="s">
        <v>159</v>
      </c>
      <c r="B52" s="135"/>
      <c r="C52" s="135"/>
      <c r="D52" s="135"/>
      <c r="E52" s="137">
        <f>E42+E51</f>
        <v>823</v>
      </c>
      <c r="F52" s="136">
        <f>F42+F51</f>
        <v>698.25</v>
      </c>
      <c r="G52" s="136">
        <f>G42+G51</f>
        <v>16</v>
      </c>
      <c r="H52" s="136">
        <f t="shared" ref="H52:M52" si="8">H42+H51</f>
        <v>345.25</v>
      </c>
      <c r="I52" s="137">
        <f t="shared" si="8"/>
        <v>8</v>
      </c>
      <c r="J52" s="137">
        <f t="shared" si="8"/>
        <v>34.524999999999999</v>
      </c>
      <c r="K52" s="132">
        <f t="shared" si="8"/>
        <v>20359.328750000001</v>
      </c>
      <c r="L52" s="133">
        <f t="shared" si="8"/>
        <v>120320</v>
      </c>
      <c r="M52" s="138">
        <f t="shared" si="8"/>
        <v>4</v>
      </c>
      <c r="N52" s="74"/>
    </row>
    <row r="53" spans="1:18">
      <c r="A53" s="126"/>
      <c r="B53" s="88"/>
      <c r="C53" s="88"/>
      <c r="D53" s="88"/>
      <c r="E53" s="79"/>
      <c r="F53" s="79"/>
      <c r="G53" s="80"/>
      <c r="H53" s="141" t="s">
        <v>160</v>
      </c>
      <c r="I53" s="141" t="s">
        <v>165</v>
      </c>
      <c r="J53" s="141" t="s">
        <v>161</v>
      </c>
      <c r="K53" s="142" t="s">
        <v>28</v>
      </c>
      <c r="L53" s="95"/>
      <c r="N53" s="74"/>
    </row>
    <row r="54" spans="1:18">
      <c r="A54" s="45"/>
      <c r="B54" s="89"/>
      <c r="C54" s="89"/>
      <c r="D54" s="89"/>
      <c r="E54" s="81"/>
      <c r="F54" s="81" t="s">
        <v>162</v>
      </c>
      <c r="G54" s="82"/>
      <c r="H54" s="143">
        <f>H52+I52+J52</f>
        <v>387.77499999999998</v>
      </c>
      <c r="I54" s="144">
        <f>+K52</f>
        <v>20359.328750000001</v>
      </c>
      <c r="J54" s="144">
        <f>L52</f>
        <v>120320</v>
      </c>
      <c r="K54" s="50">
        <f>I54+J54</f>
        <v>140679.32874999999</v>
      </c>
      <c r="L54" s="74"/>
      <c r="N54" s="74"/>
    </row>
    <row r="55" spans="1:18">
      <c r="A55" s="45"/>
      <c r="B55" s="101"/>
      <c r="C55" s="94"/>
      <c r="D55" s="94"/>
      <c r="E55" s="81"/>
      <c r="F55" s="81" t="s">
        <v>163</v>
      </c>
      <c r="G55" s="82"/>
      <c r="H55" s="143"/>
      <c r="I55" s="143"/>
      <c r="J55" s="144">
        <f>L19+L22+L25+L28</f>
        <v>0</v>
      </c>
      <c r="K55" s="145"/>
      <c r="L55" s="96"/>
      <c r="N55" s="74"/>
    </row>
    <row r="56" spans="1:18">
      <c r="A56" s="51"/>
      <c r="B56" s="89"/>
      <c r="C56" s="88"/>
      <c r="D56" s="88"/>
      <c r="E56" s="81"/>
      <c r="F56" s="81" t="s">
        <v>164</v>
      </c>
      <c r="G56" s="82"/>
      <c r="H56" s="143"/>
      <c r="I56" s="143"/>
      <c r="J56" s="144">
        <f>L52</f>
        <v>120320</v>
      </c>
      <c r="K56" s="145"/>
      <c r="L56" s="96"/>
      <c r="N56" s="74"/>
      <c r="R56" s="49"/>
    </row>
    <row r="57" spans="1:18">
      <c r="A57" s="12" t="s">
        <v>16</v>
      </c>
      <c r="B57" s="85"/>
      <c r="C57" s="85"/>
      <c r="D57" s="85"/>
      <c r="E57" s="52"/>
      <c r="F57" s="83"/>
      <c r="G57" s="52"/>
      <c r="H57" s="52"/>
      <c r="I57" s="52"/>
      <c r="J57" s="52"/>
      <c r="K57" s="52"/>
      <c r="L57" s="52"/>
      <c r="M57" s="74"/>
      <c r="N57" s="74"/>
    </row>
    <row r="58" spans="1:18">
      <c r="A58" s="91" t="s">
        <v>157</v>
      </c>
      <c r="N58" s="74"/>
    </row>
    <row r="59" spans="1:18">
      <c r="A59" s="91" t="s">
        <v>127</v>
      </c>
      <c r="N59" s="74"/>
    </row>
    <row r="60" spans="1:18">
      <c r="A60" s="91" t="s">
        <v>212</v>
      </c>
      <c r="N60" s="74"/>
    </row>
    <row r="61" spans="1:18">
      <c r="A61" s="91" t="s">
        <v>138</v>
      </c>
      <c r="N61" s="74"/>
    </row>
    <row r="62" spans="1:18">
      <c r="A62" s="91" t="s">
        <v>96</v>
      </c>
      <c r="N62" s="74"/>
    </row>
    <row r="63" spans="1:18">
      <c r="A63" s="91" t="s">
        <v>149</v>
      </c>
      <c r="N63" s="74"/>
    </row>
    <row r="64" spans="1:18">
      <c r="A64" s="91" t="s">
        <v>198</v>
      </c>
      <c r="N64" s="74"/>
    </row>
    <row r="65" spans="1:14">
      <c r="A65" s="91" t="s">
        <v>199</v>
      </c>
      <c r="N65" s="74"/>
    </row>
    <row r="66" spans="1:14">
      <c r="A66" s="91" t="s">
        <v>76</v>
      </c>
      <c r="N66" s="74"/>
    </row>
    <row r="67" spans="1:14">
      <c r="A67" s="61"/>
      <c r="N67" s="74"/>
    </row>
    <row r="68" spans="1:14">
      <c r="A68" s="61"/>
      <c r="N68" s="74"/>
    </row>
    <row r="69" spans="1:14">
      <c r="N69" s="74"/>
    </row>
    <row r="70" spans="1:14">
      <c r="N70" s="74"/>
    </row>
    <row r="71" spans="1:14">
      <c r="M71" s="84"/>
      <c r="N71" s="74"/>
    </row>
    <row r="85" spans="14:14">
      <c r="N85" s="84"/>
    </row>
  </sheetData>
  <mergeCells count="1">
    <mergeCell ref="A1:M1"/>
  </mergeCells>
  <pageMargins left="1" right="0.5" top="1" bottom="1" header="0.5" footer="0.5"/>
  <pageSetup scale="47" orientation="landscape" r:id="rId1"/>
  <headerFooter alignWithMargins="0">
    <oddFooter>&amp;LF:\Refracto\Reg-Preamble\&amp;F&amp;C&amp;A&amp;R&amp;D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8"/>
  <sheetViews>
    <sheetView showGridLines="0" tabSelected="1" workbookViewId="0">
      <selection activeCell="E8" sqref="E8"/>
    </sheetView>
  </sheetViews>
  <sheetFormatPr defaultRowHeight="12.75"/>
  <cols>
    <col min="1" max="8" width="14.7109375" customWidth="1"/>
  </cols>
  <sheetData>
    <row r="1" spans="1:13" ht="25.5" customHeight="1">
      <c r="A1" s="166" t="s">
        <v>205</v>
      </c>
      <c r="B1" s="166"/>
      <c r="C1" s="166"/>
      <c r="D1" s="166"/>
      <c r="E1" s="166"/>
      <c r="F1" s="166"/>
      <c r="G1" s="166"/>
      <c r="H1" s="166"/>
    </row>
    <row r="3" spans="1:13" ht="63.75">
      <c r="A3" s="153" t="s">
        <v>184</v>
      </c>
      <c r="B3" s="153" t="s">
        <v>185</v>
      </c>
      <c r="C3" s="153" t="s">
        <v>186</v>
      </c>
      <c r="D3" s="154" t="s">
        <v>187</v>
      </c>
      <c r="E3" s="154" t="s">
        <v>188</v>
      </c>
      <c r="F3" s="153" t="s">
        <v>165</v>
      </c>
      <c r="G3" s="154" t="s">
        <v>189</v>
      </c>
      <c r="H3" s="154" t="s">
        <v>190</v>
      </c>
      <c r="I3" s="66"/>
      <c r="J3" s="2"/>
      <c r="K3" s="2"/>
      <c r="L3" s="2"/>
      <c r="M3" s="2"/>
    </row>
    <row r="4" spans="1:13" ht="15" customHeight="1">
      <c r="A4" s="155">
        <v>1</v>
      </c>
      <c r="B4" s="157">
        <f>'Year 1 Resp'!H52</f>
        <v>320</v>
      </c>
      <c r="C4" s="158">
        <f>'Year 1 Resp'!J52</f>
        <v>32</v>
      </c>
      <c r="D4" s="158">
        <f>'Year 1 Resp'!I52</f>
        <v>5.4</v>
      </c>
      <c r="E4" s="158">
        <f>'Year 1 Resp'!H54</f>
        <v>357.4</v>
      </c>
      <c r="F4" s="156">
        <f>'Year 1 Resp'!I54</f>
        <v>37722.616000000002</v>
      </c>
      <c r="G4" s="156">
        <f>'Year 1 Resp'!J54</f>
        <v>0</v>
      </c>
      <c r="H4" s="156">
        <f>'Year 1 Resp'!K54</f>
        <v>37722.616000000002</v>
      </c>
      <c r="I4" s="2"/>
      <c r="J4" s="2"/>
      <c r="K4" s="2"/>
      <c r="L4" s="2"/>
      <c r="M4" s="2"/>
    </row>
    <row r="5" spans="1:13" ht="15" customHeight="1">
      <c r="A5" s="155">
        <v>2</v>
      </c>
      <c r="B5" s="158">
        <f>'Year 2 Resp'!H52</f>
        <v>628.25</v>
      </c>
      <c r="C5" s="158">
        <f>'Year 2 Resp'!J52</f>
        <v>62.825000000000003</v>
      </c>
      <c r="D5" s="158">
        <f>'Year 2 Resp'!I52</f>
        <v>14</v>
      </c>
      <c r="E5" s="158">
        <f>'Year 2 Resp'!H54</f>
        <v>705.07500000000005</v>
      </c>
      <c r="F5" s="156">
        <f>'Year 2 Resp'!I54</f>
        <v>53881.933750000011</v>
      </c>
      <c r="G5" s="156">
        <f>'Year 2 Resp'!J54</f>
        <v>920320</v>
      </c>
      <c r="H5" s="156">
        <f>'Year 2 Resp'!K54</f>
        <v>974201.93374999997</v>
      </c>
      <c r="I5" s="2"/>
      <c r="J5" s="2"/>
      <c r="K5" s="2"/>
      <c r="L5" s="2"/>
      <c r="M5" s="2"/>
    </row>
    <row r="6" spans="1:13" ht="15" customHeight="1">
      <c r="A6" s="155">
        <v>3</v>
      </c>
      <c r="B6" s="158">
        <f>'Year 3 Resp'!H52</f>
        <v>345.25</v>
      </c>
      <c r="C6" s="158">
        <f>'Year 3 Resp'!J52</f>
        <v>34.524999999999999</v>
      </c>
      <c r="D6" s="158">
        <f>'Year 3 Resp'!I52</f>
        <v>8</v>
      </c>
      <c r="E6" s="158">
        <f>'Year 3 Resp'!H54</f>
        <v>387.77499999999998</v>
      </c>
      <c r="F6" s="156">
        <f>'Year 3 Resp'!I54</f>
        <v>20359.328750000001</v>
      </c>
      <c r="G6" s="156">
        <f>'Year 3 Resp'!J54</f>
        <v>120320</v>
      </c>
      <c r="H6" s="156">
        <f>'Year 3 Resp'!K54</f>
        <v>140679.32874999999</v>
      </c>
      <c r="I6" s="2"/>
      <c r="J6" s="2"/>
      <c r="K6" s="2"/>
      <c r="L6" s="2"/>
      <c r="M6" s="2"/>
    </row>
    <row r="7" spans="1:13" ht="15" customHeight="1">
      <c r="A7" s="155" t="s">
        <v>183</v>
      </c>
      <c r="B7" s="158">
        <f t="shared" ref="B7:H7" si="0">SUM(B4:B6)</f>
        <v>1293.5</v>
      </c>
      <c r="C7" s="158">
        <f t="shared" si="0"/>
        <v>129.35</v>
      </c>
      <c r="D7" s="158">
        <f t="shared" si="0"/>
        <v>27.4</v>
      </c>
      <c r="E7" s="158">
        <f t="shared" si="0"/>
        <v>1450.25</v>
      </c>
      <c r="F7" s="156">
        <f t="shared" si="0"/>
        <v>111963.87850000001</v>
      </c>
      <c r="G7" s="156">
        <f t="shared" si="0"/>
        <v>1040640</v>
      </c>
      <c r="H7" s="156">
        <f t="shared" si="0"/>
        <v>1152603.8785000001</v>
      </c>
      <c r="I7" s="2"/>
      <c r="J7" s="2"/>
      <c r="K7" s="2"/>
      <c r="L7" s="2"/>
      <c r="M7" s="2"/>
    </row>
    <row r="8" spans="1:13" ht="15" customHeight="1">
      <c r="A8" s="155" t="s">
        <v>191</v>
      </c>
      <c r="B8" s="158">
        <f t="shared" ref="B8:H8" si="1">AVERAGE(B4:B6)</f>
        <v>431.16666666666669</v>
      </c>
      <c r="C8" s="158">
        <f t="shared" si="1"/>
        <v>43.116666666666667</v>
      </c>
      <c r="D8" s="158">
        <f t="shared" si="1"/>
        <v>9.1333333333333329</v>
      </c>
      <c r="E8" s="158">
        <f t="shared" si="1"/>
        <v>483.41666666666669</v>
      </c>
      <c r="F8" s="156">
        <f t="shared" si="1"/>
        <v>37321.292833333333</v>
      </c>
      <c r="G8" s="156">
        <f t="shared" si="1"/>
        <v>346880</v>
      </c>
      <c r="H8" s="156">
        <f t="shared" si="1"/>
        <v>384201.29283333337</v>
      </c>
      <c r="I8" s="2"/>
      <c r="J8" s="2"/>
      <c r="K8" s="2"/>
      <c r="L8" s="2"/>
      <c r="M8" s="2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showGridLines="0" zoomScaleNormal="100" workbookViewId="0">
      <selection activeCell="B17" sqref="B17"/>
    </sheetView>
  </sheetViews>
  <sheetFormatPr defaultRowHeight="12.75"/>
  <cols>
    <col min="1" max="1" width="50.28515625" customWidth="1"/>
    <col min="2" max="9" width="12.7109375" customWidth="1"/>
  </cols>
  <sheetData>
    <row r="1" spans="1:11">
      <c r="A1" s="161" t="s">
        <v>206</v>
      </c>
      <c r="C1" s="2"/>
    </row>
    <row r="2" spans="1:11">
      <c r="A2" s="9"/>
      <c r="B2" s="9"/>
      <c r="C2" s="9"/>
      <c r="D2" s="9"/>
      <c r="E2" s="9"/>
      <c r="F2" s="9"/>
      <c r="G2" s="9"/>
      <c r="H2" s="9"/>
      <c r="I2" s="9"/>
    </row>
    <row r="3" spans="1:11">
      <c r="A3" s="4"/>
      <c r="B3" s="159" t="s">
        <v>0</v>
      </c>
      <c r="C3" s="6" t="s">
        <v>17</v>
      </c>
      <c r="D3" s="160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8</v>
      </c>
    </row>
    <row r="4" spans="1:11" ht="51">
      <c r="A4" s="4"/>
      <c r="B4" s="108" t="s">
        <v>178</v>
      </c>
      <c r="C4" s="147" t="s">
        <v>179</v>
      </c>
      <c r="D4" s="108" t="s">
        <v>180</v>
      </c>
      <c r="E4" s="108" t="s">
        <v>181</v>
      </c>
      <c r="F4" s="108" t="s">
        <v>172</v>
      </c>
      <c r="G4" s="108" t="s">
        <v>173</v>
      </c>
      <c r="H4" s="108" t="s">
        <v>174</v>
      </c>
      <c r="I4" s="146" t="s">
        <v>18</v>
      </c>
    </row>
    <row r="5" spans="1:11">
      <c r="A5" s="5" t="s">
        <v>19</v>
      </c>
      <c r="B5" s="10"/>
      <c r="C5" s="11"/>
      <c r="D5" s="7" t="s">
        <v>2</v>
      </c>
      <c r="E5" s="7"/>
      <c r="F5" s="7"/>
      <c r="G5" s="7"/>
      <c r="H5" s="7" t="s">
        <v>7</v>
      </c>
      <c r="I5" s="7"/>
    </row>
    <row r="6" spans="1:11">
      <c r="A6" s="4" t="s">
        <v>20</v>
      </c>
      <c r="B6" s="54"/>
      <c r="C6" s="55"/>
      <c r="D6" s="55"/>
      <c r="E6" s="54"/>
      <c r="F6" s="54"/>
      <c r="G6" s="54"/>
      <c r="H6" s="55"/>
      <c r="I6" s="18"/>
    </row>
    <row r="7" spans="1:11">
      <c r="A7" s="3" t="s">
        <v>77</v>
      </c>
      <c r="B7" s="56">
        <v>1</v>
      </c>
      <c r="C7" s="56">
        <v>1</v>
      </c>
      <c r="D7" s="56">
        <f>B7*C7</f>
        <v>1</v>
      </c>
      <c r="E7" s="56">
        <f>+'Burden Table Inputs'!C9</f>
        <v>0.66666666666666663</v>
      </c>
      <c r="F7" s="56">
        <f>D7*E7</f>
        <v>0.66666666666666663</v>
      </c>
      <c r="G7" s="56">
        <f>F7*0.05</f>
        <v>3.3333333333333333E-2</v>
      </c>
      <c r="H7" s="56">
        <f>F7*0.1</f>
        <v>6.6666666666666666E-2</v>
      </c>
      <c r="I7" s="15">
        <f>F7*'Burden Table Inputs'!$B$31+G7*'Burden Table Inputs'!$B$32+H7*'Burden Table Inputs'!$B$33</f>
        <v>34.548266666666663</v>
      </c>
    </row>
    <row r="8" spans="1:11">
      <c r="A8" s="3" t="s">
        <v>78</v>
      </c>
      <c r="B8" s="56">
        <v>10</v>
      </c>
      <c r="C8" s="56">
        <v>1</v>
      </c>
      <c r="D8" s="56">
        <f>B8*C8</f>
        <v>10</v>
      </c>
      <c r="E8" s="56">
        <f>+'Burden Table Inputs'!C10</f>
        <v>0.66666666666666663</v>
      </c>
      <c r="F8" s="56">
        <f>D8*E8</f>
        <v>6.6666666666666661</v>
      </c>
      <c r="G8" s="56">
        <f>F8*0.05</f>
        <v>0.33333333333333331</v>
      </c>
      <c r="H8" s="56">
        <f>F8*0.1</f>
        <v>0.66666666666666663</v>
      </c>
      <c r="I8" s="15">
        <f>+F8*'Burden Table Inputs'!$B$31+G8*'Burden Table Inputs'!$B$32+H8*'Burden Table Inputs'!$B$33</f>
        <v>345.48266666666666</v>
      </c>
    </row>
    <row r="9" spans="1:11">
      <c r="A9" s="3" t="s">
        <v>79</v>
      </c>
      <c r="B9" s="56">
        <v>2</v>
      </c>
      <c r="C9" s="56">
        <v>1</v>
      </c>
      <c r="D9" s="56">
        <f>B9*C9</f>
        <v>2</v>
      </c>
      <c r="E9" s="56">
        <v>2</v>
      </c>
      <c r="F9" s="56">
        <f>D9*E9</f>
        <v>4</v>
      </c>
      <c r="G9" s="56">
        <f>F9*0.05</f>
        <v>0.2</v>
      </c>
      <c r="H9" s="56">
        <f>F9*0.1</f>
        <v>0.4</v>
      </c>
      <c r="I9" s="15">
        <f>+F9*'Burden Table Inputs'!$B$31+G9*'Burden Table Inputs'!$B$32+H9*'Burden Table Inputs'!$B$33</f>
        <v>207.28959999999998</v>
      </c>
    </row>
    <row r="10" spans="1:11">
      <c r="A10" s="45" t="s">
        <v>85</v>
      </c>
      <c r="B10" s="56">
        <v>2</v>
      </c>
      <c r="C10" s="56">
        <v>1</v>
      </c>
      <c r="D10" s="56">
        <f>B10*C10</f>
        <v>2</v>
      </c>
      <c r="E10" s="56">
        <v>2</v>
      </c>
      <c r="F10" s="56">
        <f>D10*E10</f>
        <v>4</v>
      </c>
      <c r="G10" s="56">
        <f>F10*0.05</f>
        <v>0.2</v>
      </c>
      <c r="H10" s="56">
        <f>F10*0.1</f>
        <v>0.4</v>
      </c>
      <c r="I10" s="15">
        <f>+F10*'Burden Table Inputs'!$B$31+G10*'Burden Table Inputs'!$B$32+H10*'Burden Table Inputs'!$B$33</f>
        <v>207.28959999999998</v>
      </c>
    </row>
    <row r="11" spans="1:11">
      <c r="A11" s="162" t="s">
        <v>211</v>
      </c>
      <c r="B11" s="56">
        <v>10</v>
      </c>
      <c r="C11" s="56">
        <v>0</v>
      </c>
      <c r="D11" s="56">
        <f>B11*C11</f>
        <v>0</v>
      </c>
      <c r="E11" s="56">
        <v>2</v>
      </c>
      <c r="F11" s="56">
        <f>D11*E11</f>
        <v>0</v>
      </c>
      <c r="G11" s="56">
        <f>F11*0.05</f>
        <v>0</v>
      </c>
      <c r="H11" s="56">
        <f>F11*0.1</f>
        <v>0</v>
      </c>
      <c r="I11" s="15">
        <f>+F11*'Burden Table Inputs'!$B$31+G11*'Burden Table Inputs'!$B$32+H11*'Burden Table Inputs'!$B$33</f>
        <v>0</v>
      </c>
    </row>
    <row r="12" spans="1:11">
      <c r="A12" s="5" t="s">
        <v>15</v>
      </c>
      <c r="B12" s="56"/>
      <c r="C12" s="56"/>
      <c r="D12" s="56"/>
      <c r="E12" s="56"/>
      <c r="F12" s="56">
        <f>SUM(F7:F11)</f>
        <v>15.333333333333332</v>
      </c>
      <c r="G12" s="56">
        <f>SUM(G7:G11)</f>
        <v>0.76666666666666661</v>
      </c>
      <c r="H12" s="56">
        <f>SUM(H7:H11)</f>
        <v>1.5333333333333332</v>
      </c>
      <c r="I12" s="93">
        <f>SUM(I7:I10)</f>
        <v>794.61013333333324</v>
      </c>
      <c r="K12" s="13"/>
    </row>
    <row r="14" spans="1:11">
      <c r="A14" s="12" t="s">
        <v>210</v>
      </c>
    </row>
    <row r="15" spans="1:11">
      <c r="A15" t="s">
        <v>25</v>
      </c>
    </row>
    <row r="16" spans="1:11">
      <c r="A16" s="12" t="s">
        <v>200</v>
      </c>
    </row>
    <row r="17" spans="1:9">
      <c r="A17" s="12" t="s">
        <v>201</v>
      </c>
    </row>
    <row r="18" spans="1:9">
      <c r="A18" s="12" t="s">
        <v>192</v>
      </c>
    </row>
    <row r="19" spans="1:9">
      <c r="A19" s="12" t="s">
        <v>91</v>
      </c>
    </row>
    <row r="20" spans="1:9">
      <c r="A20" t="s">
        <v>21</v>
      </c>
    </row>
    <row r="21" spans="1:9">
      <c r="H21" t="s">
        <v>26</v>
      </c>
      <c r="I21" s="84">
        <f>SUM(F12:H12)</f>
        <v>17.633333333333333</v>
      </c>
    </row>
    <row r="22" spans="1:9">
      <c r="A22" s="2"/>
    </row>
    <row r="23" spans="1:9">
      <c r="A23" s="2"/>
    </row>
    <row r="24" spans="1:9">
      <c r="A24" s="2"/>
    </row>
    <row r="25" spans="1:9">
      <c r="A25" s="2"/>
    </row>
  </sheetData>
  <phoneticPr fontId="0" type="noConversion"/>
  <pageMargins left="1" right="0.5" top="1" bottom="1" header="0.5" footer="0.5"/>
  <pageSetup scale="72" fitToHeight="2" orientation="landscape" r:id="rId1"/>
  <headerFooter alignWithMargins="0">
    <oddFooter>&amp;LF:\Refracto\Reg-Preamable\&amp;F&amp;C&amp;A&amp;R&amp;D</oddFooter>
  </headerFooter>
  <ignoredErrors>
    <ignoredError sqref="E7:E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showGridLines="0" topLeftCell="B1" zoomScaleNormal="100" workbookViewId="0">
      <selection activeCell="H13" sqref="H13"/>
    </sheetView>
  </sheetViews>
  <sheetFormatPr defaultRowHeight="12.75"/>
  <cols>
    <col min="1" max="1" width="50.28515625" customWidth="1"/>
    <col min="2" max="9" width="12.7109375" customWidth="1"/>
  </cols>
  <sheetData>
    <row r="1" spans="1:11">
      <c r="A1" s="161" t="s">
        <v>207</v>
      </c>
      <c r="C1" s="2"/>
    </row>
    <row r="2" spans="1:11">
      <c r="A2" s="9"/>
      <c r="B2" s="9"/>
      <c r="C2" s="9"/>
      <c r="D2" s="9"/>
      <c r="E2" s="9"/>
      <c r="F2" s="9"/>
      <c r="G2" s="9"/>
      <c r="H2" s="9"/>
      <c r="I2" s="9"/>
    </row>
    <row r="3" spans="1:11">
      <c r="A3" s="4"/>
      <c r="B3" s="159" t="s">
        <v>0</v>
      </c>
      <c r="C3" s="6" t="s">
        <v>17</v>
      </c>
      <c r="D3" s="160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8</v>
      </c>
    </row>
    <row r="4" spans="1:11" ht="51">
      <c r="A4" s="4"/>
      <c r="B4" s="108" t="s">
        <v>178</v>
      </c>
      <c r="C4" s="147" t="s">
        <v>179</v>
      </c>
      <c r="D4" s="108" t="s">
        <v>180</v>
      </c>
      <c r="E4" s="108" t="s">
        <v>181</v>
      </c>
      <c r="F4" s="108" t="s">
        <v>172</v>
      </c>
      <c r="G4" s="108" t="s">
        <v>173</v>
      </c>
      <c r="H4" s="108" t="s">
        <v>174</v>
      </c>
      <c r="I4" s="146" t="s">
        <v>18</v>
      </c>
    </row>
    <row r="5" spans="1:11">
      <c r="A5" s="5" t="s">
        <v>19</v>
      </c>
      <c r="B5" s="10"/>
      <c r="C5" s="11"/>
      <c r="D5" s="7" t="s">
        <v>2</v>
      </c>
      <c r="E5" s="7"/>
      <c r="F5" s="7"/>
      <c r="G5" s="7"/>
      <c r="H5" s="7" t="s">
        <v>7</v>
      </c>
      <c r="I5" s="7"/>
    </row>
    <row r="6" spans="1:11">
      <c r="A6" s="4" t="s">
        <v>20</v>
      </c>
      <c r="B6" s="54"/>
      <c r="C6" s="55"/>
      <c r="D6" s="55"/>
      <c r="E6" s="54"/>
      <c r="F6" s="54"/>
      <c r="G6" s="54"/>
      <c r="H6" s="55"/>
      <c r="I6" s="18"/>
    </row>
    <row r="7" spans="1:11">
      <c r="A7" s="3" t="s">
        <v>77</v>
      </c>
      <c r="B7" s="56">
        <v>1</v>
      </c>
      <c r="C7" s="56">
        <v>1</v>
      </c>
      <c r="D7" s="56">
        <f>B7*C7</f>
        <v>1</v>
      </c>
      <c r="E7" s="56">
        <f>+'Burden Table Inputs'!C9</f>
        <v>0.66666666666666663</v>
      </c>
      <c r="F7" s="56">
        <f>D7*E7</f>
        <v>0.66666666666666663</v>
      </c>
      <c r="G7" s="56">
        <f>F7*0.05</f>
        <v>3.3333333333333333E-2</v>
      </c>
      <c r="H7" s="56">
        <f>F7*0.1</f>
        <v>6.6666666666666666E-2</v>
      </c>
      <c r="I7" s="15">
        <f>F7*'Burden Table Inputs'!$B$31+G7*'Burden Table Inputs'!$B$32+H7*'Burden Table Inputs'!$B$33</f>
        <v>34.548266666666663</v>
      </c>
    </row>
    <row r="8" spans="1:11">
      <c r="A8" s="3" t="s">
        <v>78</v>
      </c>
      <c r="B8" s="56">
        <v>10</v>
      </c>
      <c r="C8" s="56">
        <v>1</v>
      </c>
      <c r="D8" s="56">
        <f>B8*C8</f>
        <v>10</v>
      </c>
      <c r="E8" s="56">
        <f>+'Burden Table Inputs'!C10</f>
        <v>0.66666666666666663</v>
      </c>
      <c r="F8" s="56">
        <f>D8*E8</f>
        <v>6.6666666666666661</v>
      </c>
      <c r="G8" s="56">
        <f>F8*0.05</f>
        <v>0.33333333333333331</v>
      </c>
      <c r="H8" s="56">
        <f>F8*0.1</f>
        <v>0.66666666666666663</v>
      </c>
      <c r="I8" s="15">
        <f>+F8*'Burden Table Inputs'!$B$31+G8*'Burden Table Inputs'!$B$32+H8*'Burden Table Inputs'!$B$33</f>
        <v>345.48266666666666</v>
      </c>
    </row>
    <row r="9" spans="1:11">
      <c r="A9" s="3" t="s">
        <v>79</v>
      </c>
      <c r="B9" s="56">
        <v>2</v>
      </c>
      <c r="C9" s="56">
        <v>1</v>
      </c>
      <c r="D9" s="56">
        <f>B9*C9</f>
        <v>2</v>
      </c>
      <c r="E9" s="56">
        <v>2</v>
      </c>
      <c r="F9" s="56">
        <f>D9*E9</f>
        <v>4</v>
      </c>
      <c r="G9" s="56">
        <f>F9*0.05</f>
        <v>0.2</v>
      </c>
      <c r="H9" s="56">
        <f>F9*0.1</f>
        <v>0.4</v>
      </c>
      <c r="I9" s="15">
        <f>+F9*'Burden Table Inputs'!$B$31+G9*'Burden Table Inputs'!$B$32+H9*'Burden Table Inputs'!$B$33</f>
        <v>207.28959999999998</v>
      </c>
    </row>
    <row r="10" spans="1:11">
      <c r="A10" s="45" t="s">
        <v>85</v>
      </c>
      <c r="B10" s="56">
        <v>2</v>
      </c>
      <c r="C10" s="56">
        <v>1</v>
      </c>
      <c r="D10" s="56">
        <f>B10*C10</f>
        <v>2</v>
      </c>
      <c r="E10" s="56">
        <v>2</v>
      </c>
      <c r="F10" s="56">
        <f>D10*E10</f>
        <v>4</v>
      </c>
      <c r="G10" s="56">
        <f>F10*0.05</f>
        <v>0.2</v>
      </c>
      <c r="H10" s="56">
        <f>F10*0.1</f>
        <v>0.4</v>
      </c>
      <c r="I10" s="15">
        <f>+F10*'Burden Table Inputs'!$B$31+G10*'Burden Table Inputs'!$B$32+H10*'Burden Table Inputs'!$B$33</f>
        <v>207.28959999999998</v>
      </c>
    </row>
    <row r="11" spans="1:11">
      <c r="A11" s="162" t="s">
        <v>211</v>
      </c>
      <c r="B11" s="56">
        <v>10</v>
      </c>
      <c r="C11" s="56">
        <v>4</v>
      </c>
      <c r="D11" s="56">
        <f>B11*C11</f>
        <v>40</v>
      </c>
      <c r="E11" s="56">
        <v>2</v>
      </c>
      <c r="F11" s="56">
        <f>D11*E11</f>
        <v>80</v>
      </c>
      <c r="G11" s="56">
        <f>F11*0.05</f>
        <v>4</v>
      </c>
      <c r="H11" s="56">
        <f>F11*0.1</f>
        <v>8</v>
      </c>
      <c r="I11" s="15">
        <f>+F11*'Burden Table Inputs'!$B$31+G11*'Burden Table Inputs'!$B$32+H11*'Burden Table Inputs'!$B$33</f>
        <v>4145.7920000000004</v>
      </c>
    </row>
    <row r="12" spans="1:11">
      <c r="A12" s="5" t="s">
        <v>15</v>
      </c>
      <c r="B12" s="56"/>
      <c r="C12" s="56"/>
      <c r="D12" s="56"/>
      <c r="E12" s="56"/>
      <c r="F12" s="56">
        <f>SUM(F7:F11)</f>
        <v>95.333333333333329</v>
      </c>
      <c r="G12" s="56">
        <f>SUM(G7:G11)</f>
        <v>4.7666666666666666</v>
      </c>
      <c r="H12" s="56">
        <f>SUM(H7:H11)</f>
        <v>9.5333333333333332</v>
      </c>
      <c r="I12" s="93">
        <f>SUM(I7:I11)</f>
        <v>4940.4021333333339</v>
      </c>
      <c r="K12" s="13"/>
    </row>
    <row r="14" spans="1:11">
      <c r="A14" s="12" t="s">
        <v>210</v>
      </c>
    </row>
    <row r="15" spans="1:11">
      <c r="A15" t="s">
        <v>25</v>
      </c>
    </row>
    <row r="16" spans="1:11">
      <c r="A16" s="12" t="s">
        <v>200</v>
      </c>
    </row>
    <row r="17" spans="1:9">
      <c r="A17" s="12" t="s">
        <v>201</v>
      </c>
    </row>
    <row r="18" spans="1:9">
      <c r="A18" s="12" t="s">
        <v>192</v>
      </c>
    </row>
    <row r="19" spans="1:9">
      <c r="A19" s="12" t="s">
        <v>91</v>
      </c>
    </row>
    <row r="20" spans="1:9">
      <c r="A20" t="s">
        <v>21</v>
      </c>
    </row>
    <row r="21" spans="1:9">
      <c r="H21" t="s">
        <v>26</v>
      </c>
      <c r="I21" s="84">
        <f>SUM(F12:H12)</f>
        <v>109.63333333333333</v>
      </c>
    </row>
    <row r="22" spans="1:9">
      <c r="A22" s="2"/>
    </row>
    <row r="23" spans="1:9">
      <c r="A23" s="2"/>
    </row>
    <row r="24" spans="1:9">
      <c r="A24" s="2"/>
    </row>
    <row r="25" spans="1:9">
      <c r="A25" s="2"/>
    </row>
  </sheetData>
  <pageMargins left="1" right="0.5" top="1" bottom="1" header="0.5" footer="0.5"/>
  <pageSetup scale="72" fitToHeight="2" orientation="landscape" r:id="rId1"/>
  <headerFooter alignWithMargins="0">
    <oddFooter>&amp;LF:\Refracto\Reg-Preamable\&amp;F&amp;C&amp;A&amp;R&amp;D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showGridLines="0" topLeftCell="B1" zoomScaleNormal="100" workbookViewId="0">
      <selection activeCell="C12" sqref="C12"/>
    </sheetView>
  </sheetViews>
  <sheetFormatPr defaultRowHeight="12.75"/>
  <cols>
    <col min="1" max="1" width="50.28515625" customWidth="1"/>
    <col min="2" max="9" width="12.7109375" customWidth="1"/>
  </cols>
  <sheetData>
    <row r="1" spans="1:11">
      <c r="A1" s="161" t="s">
        <v>208</v>
      </c>
      <c r="C1" s="2"/>
    </row>
    <row r="2" spans="1:11">
      <c r="A2" s="9"/>
      <c r="B2" s="9"/>
      <c r="C2" s="9"/>
      <c r="D2" s="9"/>
      <c r="E2" s="9"/>
      <c r="F2" s="9"/>
      <c r="G2" s="9"/>
      <c r="H2" s="9"/>
      <c r="I2" s="9"/>
    </row>
    <row r="3" spans="1:11">
      <c r="A3" s="4"/>
      <c r="B3" s="159" t="s">
        <v>0</v>
      </c>
      <c r="C3" s="6" t="s">
        <v>17</v>
      </c>
      <c r="D3" s="160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8</v>
      </c>
    </row>
    <row r="4" spans="1:11" ht="51">
      <c r="A4" s="4"/>
      <c r="B4" s="108" t="s">
        <v>178</v>
      </c>
      <c r="C4" s="147" t="s">
        <v>179</v>
      </c>
      <c r="D4" s="108" t="s">
        <v>180</v>
      </c>
      <c r="E4" s="108" t="s">
        <v>181</v>
      </c>
      <c r="F4" s="108" t="s">
        <v>172</v>
      </c>
      <c r="G4" s="108" t="s">
        <v>173</v>
      </c>
      <c r="H4" s="108" t="s">
        <v>174</v>
      </c>
      <c r="I4" s="146" t="s">
        <v>18</v>
      </c>
    </row>
    <row r="5" spans="1:11">
      <c r="A5" s="5" t="s">
        <v>19</v>
      </c>
      <c r="B5" s="10"/>
      <c r="C5" s="11"/>
      <c r="D5" s="7" t="s">
        <v>2</v>
      </c>
      <c r="E5" s="7"/>
      <c r="F5" s="7"/>
      <c r="G5" s="7"/>
      <c r="H5" s="7" t="s">
        <v>7</v>
      </c>
      <c r="I5" s="7"/>
    </row>
    <row r="6" spans="1:11">
      <c r="A6" s="4" t="s">
        <v>20</v>
      </c>
      <c r="B6" s="54"/>
      <c r="C6" s="55"/>
      <c r="D6" s="55"/>
      <c r="E6" s="54"/>
      <c r="F6" s="54"/>
      <c r="G6" s="54"/>
      <c r="H6" s="55"/>
      <c r="I6" s="18"/>
    </row>
    <row r="7" spans="1:11">
      <c r="A7" s="3" t="s">
        <v>77</v>
      </c>
      <c r="B7" s="56">
        <v>1</v>
      </c>
      <c r="C7" s="56">
        <v>1</v>
      </c>
      <c r="D7" s="56">
        <f>B7*C7</f>
        <v>1</v>
      </c>
      <c r="E7" s="56">
        <f>+'Burden Table Inputs'!C9</f>
        <v>0.66666666666666663</v>
      </c>
      <c r="F7" s="56">
        <f>D7*E7</f>
        <v>0.66666666666666663</v>
      </c>
      <c r="G7" s="56">
        <f>F7*0.05</f>
        <v>3.3333333333333333E-2</v>
      </c>
      <c r="H7" s="56">
        <f>F7*0.1</f>
        <v>6.6666666666666666E-2</v>
      </c>
      <c r="I7" s="15">
        <f>F7*'Burden Table Inputs'!$B$31+G7*'Burden Table Inputs'!$B$32+H7*'Burden Table Inputs'!$B$33</f>
        <v>34.548266666666663</v>
      </c>
    </row>
    <row r="8" spans="1:11">
      <c r="A8" s="3" t="s">
        <v>78</v>
      </c>
      <c r="B8" s="56">
        <v>10</v>
      </c>
      <c r="C8" s="56">
        <v>1</v>
      </c>
      <c r="D8" s="56">
        <f>B8*C8</f>
        <v>10</v>
      </c>
      <c r="E8" s="56">
        <f>+'Burden Table Inputs'!C10</f>
        <v>0.66666666666666663</v>
      </c>
      <c r="F8" s="56">
        <f>D8*E8</f>
        <v>6.6666666666666661</v>
      </c>
      <c r="G8" s="56">
        <f>F8*0.05</f>
        <v>0.33333333333333331</v>
      </c>
      <c r="H8" s="56">
        <f>F8*0.1</f>
        <v>0.66666666666666663</v>
      </c>
      <c r="I8" s="15">
        <f>+F8*'Burden Table Inputs'!$B$31+G8*'Burden Table Inputs'!$B$32+H8*'Burden Table Inputs'!$B$33</f>
        <v>345.48266666666666</v>
      </c>
    </row>
    <row r="9" spans="1:11">
      <c r="A9" s="3" t="s">
        <v>79</v>
      </c>
      <c r="B9" s="56">
        <v>2</v>
      </c>
      <c r="C9" s="56">
        <v>1</v>
      </c>
      <c r="D9" s="56">
        <f>B9*C9</f>
        <v>2</v>
      </c>
      <c r="E9" s="56">
        <v>2</v>
      </c>
      <c r="F9" s="56">
        <f>D9*E9</f>
        <v>4</v>
      </c>
      <c r="G9" s="56">
        <f>F9*0.05</f>
        <v>0.2</v>
      </c>
      <c r="H9" s="56">
        <f>F9*0.1</f>
        <v>0.4</v>
      </c>
      <c r="I9" s="15">
        <f>+F9*'Burden Table Inputs'!$B$31+G9*'Burden Table Inputs'!$B$32+H9*'Burden Table Inputs'!$B$33</f>
        <v>207.28959999999998</v>
      </c>
    </row>
    <row r="10" spans="1:11">
      <c r="A10" s="45" t="s">
        <v>85</v>
      </c>
      <c r="B10" s="56">
        <v>2</v>
      </c>
      <c r="C10" s="56">
        <v>1</v>
      </c>
      <c r="D10" s="56">
        <f>B10*C10</f>
        <v>2</v>
      </c>
      <c r="E10" s="56">
        <v>2</v>
      </c>
      <c r="F10" s="56">
        <f>D10*E10</f>
        <v>4</v>
      </c>
      <c r="G10" s="56">
        <f>F10*0.05</f>
        <v>0.2</v>
      </c>
      <c r="H10" s="56">
        <f>F10*0.1</f>
        <v>0.4</v>
      </c>
      <c r="I10" s="15">
        <f>+F10*'Burden Table Inputs'!$B$31+G10*'Burden Table Inputs'!$B$32+H10*'Burden Table Inputs'!$B$33</f>
        <v>207.28959999999998</v>
      </c>
    </row>
    <row r="11" spans="1:11">
      <c r="A11" s="162" t="s">
        <v>211</v>
      </c>
      <c r="B11" s="56">
        <v>10</v>
      </c>
      <c r="C11" s="56">
        <v>0</v>
      </c>
      <c r="D11" s="56">
        <f>B11*C11</f>
        <v>0</v>
      </c>
      <c r="E11" s="56">
        <v>2</v>
      </c>
      <c r="F11" s="56">
        <f>D11*E11</f>
        <v>0</v>
      </c>
      <c r="G11" s="56">
        <f>F11*0.05</f>
        <v>0</v>
      </c>
      <c r="H11" s="56">
        <f>F11*0.1</f>
        <v>0</v>
      </c>
      <c r="I11" s="15">
        <f>+F11*'Burden Table Inputs'!$B$31+G11*'Burden Table Inputs'!$B$32+H11*'Burden Table Inputs'!$B$33</f>
        <v>0</v>
      </c>
    </row>
    <row r="12" spans="1:11">
      <c r="A12" s="5" t="s">
        <v>15</v>
      </c>
      <c r="B12" s="56"/>
      <c r="C12" s="56"/>
      <c r="D12" s="56"/>
      <c r="E12" s="56"/>
      <c r="F12" s="56">
        <f>SUM(F7:F11)</f>
        <v>15.333333333333332</v>
      </c>
      <c r="G12" s="56">
        <f>SUM(G7:G11)</f>
        <v>0.76666666666666661</v>
      </c>
      <c r="H12" s="56">
        <f>SUM(H7:H11)</f>
        <v>1.5333333333333332</v>
      </c>
      <c r="I12" s="93">
        <f>SUM(I7:I11)</f>
        <v>794.61013333333324</v>
      </c>
      <c r="K12" s="13"/>
    </row>
    <row r="14" spans="1:11">
      <c r="A14" s="12" t="s">
        <v>210</v>
      </c>
    </row>
    <row r="15" spans="1:11">
      <c r="A15" t="s">
        <v>25</v>
      </c>
    </row>
    <row r="16" spans="1:11">
      <c r="A16" s="12" t="s">
        <v>200</v>
      </c>
    </row>
    <row r="17" spans="1:9">
      <c r="A17" s="12" t="s">
        <v>201</v>
      </c>
    </row>
    <row r="18" spans="1:9">
      <c r="A18" s="12" t="s">
        <v>192</v>
      </c>
    </row>
    <row r="19" spans="1:9">
      <c r="A19" s="12" t="s">
        <v>91</v>
      </c>
    </row>
    <row r="20" spans="1:9">
      <c r="A20" t="s">
        <v>21</v>
      </c>
    </row>
    <row r="21" spans="1:9">
      <c r="H21" t="s">
        <v>26</v>
      </c>
      <c r="I21" s="84">
        <f>SUM(F12:H12)</f>
        <v>17.633333333333333</v>
      </c>
    </row>
    <row r="22" spans="1:9">
      <c r="A22" s="2"/>
    </row>
    <row r="23" spans="1:9">
      <c r="A23" s="2"/>
    </row>
    <row r="24" spans="1:9">
      <c r="A24" s="2"/>
    </row>
    <row r="25" spans="1:9">
      <c r="A25" s="2"/>
    </row>
  </sheetData>
  <pageMargins left="1" right="0.5" top="1" bottom="1" header="0.5" footer="0.5"/>
  <pageSetup scale="72" fitToHeight="2" orientation="landscape" r:id="rId1"/>
  <headerFooter alignWithMargins="0">
    <oddFooter>&amp;LF:\Refracto\Reg-Preamable\&amp;F&amp;C&amp;A&amp;R&amp;D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8"/>
  <sheetViews>
    <sheetView showGridLines="0" workbookViewId="0">
      <selection activeCell="B5" sqref="B5"/>
    </sheetView>
  </sheetViews>
  <sheetFormatPr defaultRowHeight="12.75"/>
  <cols>
    <col min="1" max="6" width="14.7109375" customWidth="1"/>
  </cols>
  <sheetData>
    <row r="1" spans="1:11" ht="25.5" customHeight="1">
      <c r="A1" s="166" t="s">
        <v>209</v>
      </c>
      <c r="B1" s="166"/>
      <c r="C1" s="166"/>
      <c r="D1" s="166"/>
      <c r="E1" s="166"/>
      <c r="F1" s="166"/>
    </row>
    <row r="3" spans="1:11" ht="25.5">
      <c r="A3" s="153" t="s">
        <v>184</v>
      </c>
      <c r="B3" s="153" t="s">
        <v>185</v>
      </c>
      <c r="C3" s="153" t="s">
        <v>186</v>
      </c>
      <c r="D3" s="154" t="s">
        <v>187</v>
      </c>
      <c r="E3" s="154" t="s">
        <v>188</v>
      </c>
      <c r="F3" s="153" t="s">
        <v>165</v>
      </c>
      <c r="G3" s="66"/>
      <c r="H3" s="2"/>
      <c r="I3" s="2"/>
      <c r="J3" s="2"/>
      <c r="K3" s="2"/>
    </row>
    <row r="4" spans="1:11" ht="15" customHeight="1">
      <c r="A4" s="155">
        <v>1</v>
      </c>
      <c r="B4" s="157">
        <f>'Year 1 Agency'!F12</f>
        <v>15.333333333333332</v>
      </c>
      <c r="C4" s="158">
        <f>'Year 1 Agency'!H12</f>
        <v>1.5333333333333332</v>
      </c>
      <c r="D4" s="158">
        <f>'Year 1 Agency'!G12</f>
        <v>0.76666666666666661</v>
      </c>
      <c r="E4" s="158">
        <f>'Year 1 Agency'!I21</f>
        <v>17.633333333333333</v>
      </c>
      <c r="F4" s="156">
        <f>'Year 1 Agency'!I12</f>
        <v>794.61013333333324</v>
      </c>
      <c r="G4" s="2"/>
      <c r="H4" s="2"/>
      <c r="I4" s="2"/>
      <c r="J4" s="2"/>
      <c r="K4" s="2"/>
    </row>
    <row r="5" spans="1:11" ht="15" customHeight="1">
      <c r="A5" s="155">
        <v>2</v>
      </c>
      <c r="B5" s="158">
        <f>'Year 2 Agency'!F12</f>
        <v>95.333333333333329</v>
      </c>
      <c r="C5" s="158">
        <f>'Year 2 Agency'!H12</f>
        <v>9.5333333333333332</v>
      </c>
      <c r="D5" s="158">
        <f>'Year 2 Agency'!G12</f>
        <v>4.7666666666666666</v>
      </c>
      <c r="E5" s="158">
        <f>'Year 2 Agency'!I21</f>
        <v>109.63333333333333</v>
      </c>
      <c r="F5" s="156">
        <f>'Year 2 Agency'!I12</f>
        <v>4940.4021333333339</v>
      </c>
      <c r="G5" s="2"/>
      <c r="H5" s="2"/>
      <c r="I5" s="2"/>
      <c r="J5" s="2"/>
      <c r="K5" s="2"/>
    </row>
    <row r="6" spans="1:11" ht="15" customHeight="1">
      <c r="A6" s="155">
        <v>3</v>
      </c>
      <c r="B6" s="158">
        <f>'Year 3 Agency'!F12</f>
        <v>15.333333333333332</v>
      </c>
      <c r="C6" s="158">
        <f>'Year 3 Agency'!H12</f>
        <v>1.5333333333333332</v>
      </c>
      <c r="D6" s="158">
        <f>'Year 3 Agency'!G12</f>
        <v>0.76666666666666661</v>
      </c>
      <c r="E6" s="158">
        <f>'Year 3 Agency'!I21</f>
        <v>17.633333333333333</v>
      </c>
      <c r="F6" s="156">
        <f>'Year 3 Agency'!I12</f>
        <v>794.61013333333324</v>
      </c>
      <c r="G6" s="2"/>
      <c r="H6" s="2"/>
      <c r="I6" s="2"/>
      <c r="J6" s="2"/>
      <c r="K6" s="2"/>
    </row>
    <row r="7" spans="1:11" ht="15" customHeight="1">
      <c r="A7" s="155" t="s">
        <v>183</v>
      </c>
      <c r="B7" s="158">
        <f>SUM(B4:B6)</f>
        <v>125.99999999999999</v>
      </c>
      <c r="C7" s="158">
        <f>SUM(C4:C6)</f>
        <v>12.6</v>
      </c>
      <c r="D7" s="158">
        <f>SUM(D4:D6)</f>
        <v>6.3</v>
      </c>
      <c r="E7" s="158">
        <f>SUM(E4:E6)</f>
        <v>144.89999999999998</v>
      </c>
      <c r="F7" s="156">
        <f>SUM(F4:F6)</f>
        <v>6529.6224000000011</v>
      </c>
      <c r="G7" s="2"/>
      <c r="H7" s="2"/>
      <c r="I7" s="2"/>
      <c r="J7" s="2"/>
      <c r="K7" s="2"/>
    </row>
    <row r="8" spans="1:11" ht="15" customHeight="1">
      <c r="A8" s="155" t="s">
        <v>191</v>
      </c>
      <c r="B8" s="158">
        <f>AVERAGE(B4:B6)</f>
        <v>41.999999999999993</v>
      </c>
      <c r="C8" s="158">
        <f>AVERAGE(C4:C6)</f>
        <v>4.2</v>
      </c>
      <c r="D8" s="158">
        <f>AVERAGE(D4:D6)</f>
        <v>2.1</v>
      </c>
      <c r="E8" s="158">
        <f>AVERAGE(E4:E6)</f>
        <v>48.29999999999999</v>
      </c>
      <c r="F8" s="156">
        <f>AVERAGE(F4:F6)</f>
        <v>2176.5408000000002</v>
      </c>
      <c r="G8" s="2"/>
      <c r="H8" s="2"/>
      <c r="I8" s="2"/>
      <c r="J8" s="2"/>
      <c r="K8" s="2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Burden Table Inputs</vt:lpstr>
      <vt:lpstr>Year 1 Resp</vt:lpstr>
      <vt:lpstr>Year 2 Resp</vt:lpstr>
      <vt:lpstr>Year 3 Resp</vt:lpstr>
      <vt:lpstr>3-yr Average Resp</vt:lpstr>
      <vt:lpstr>Year 1 Agency</vt:lpstr>
      <vt:lpstr>Year 2 Agency</vt:lpstr>
      <vt:lpstr>Year 3 Agency</vt:lpstr>
      <vt:lpstr>3-yr Average Agency</vt:lpstr>
      <vt:lpstr>ROCIS Inputs</vt:lpstr>
      <vt:lpstr>Sheet1</vt:lpstr>
      <vt:lpstr>'Year 1 Agency'!Print_Area</vt:lpstr>
      <vt:lpstr>'Year 1 Resp'!Print_Area</vt:lpstr>
      <vt:lpstr>'Year 2 Agency'!Print_Area</vt:lpstr>
      <vt:lpstr>'Year 2 Resp'!Print_Area</vt:lpstr>
      <vt:lpstr>'Year 3 Agency'!Print_Area</vt:lpstr>
      <vt:lpstr>'Year 3 Resp'!Print_Area</vt:lpstr>
      <vt:lpstr>'Year 1 Resp'!Print_Titles</vt:lpstr>
      <vt:lpstr>'Year 2 Resp'!Print_Titles</vt:lpstr>
      <vt:lpstr>'Year 3 Resp'!Print_Titles</vt:lpstr>
    </vt:vector>
  </TitlesOfParts>
  <Company>Midwest Research Institute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Shrager</dc:creator>
  <cp:lastModifiedBy>ckerwin</cp:lastModifiedBy>
  <cp:lastPrinted>2011-09-06T14:31:41Z</cp:lastPrinted>
  <dcterms:created xsi:type="dcterms:W3CDTF">1999-11-18T17:06:56Z</dcterms:created>
  <dcterms:modified xsi:type="dcterms:W3CDTF">2011-11-10T23:44:09Z</dcterms:modified>
</cp:coreProperties>
</file>