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45" yWindow="195" windowWidth="22815" windowHeight="10965" tabRatio="754"/>
  </bookViews>
  <sheets>
    <sheet name="Introduction" sheetId="12" r:id="rId1"/>
    <sheet name="POTW Discharge" sheetId="9" r:id="rId2"/>
    <sheet name="Wastewater Collection System" sheetId="22" r:id="rId3"/>
    <sheet name="Weir" sheetId="15" r:id="rId4"/>
    <sheet name="Oil-Water Separators" sheetId="1" r:id="rId5"/>
    <sheet name="DAF" sheetId="2" r:id="rId6"/>
    <sheet name="EQ Tanks" sheetId="5" r:id="rId7"/>
    <sheet name="Bio. Diff. Aer. Act. Sldg." sheetId="6" r:id="rId8"/>
    <sheet name="Bio. Mech. Aer. Act. Sldg." sheetId="4" r:id="rId9"/>
    <sheet name="Quiescent Unit" sheetId="24" r:id="rId10"/>
    <sheet name="Chemical Properties" sheetId="8" r:id="rId11"/>
  </sheets>
  <definedNames>
    <definedName name="minWindSpd">Introduction!$T$11</definedName>
    <definedName name="_xlnm.Print_Area" localSheetId="5">DAF!$J$81</definedName>
  </definedNames>
  <calcPr calcId="125725"/>
</workbook>
</file>

<file path=xl/calcChain.xml><?xml version="1.0" encoding="utf-8"?>
<calcChain xmlns="http://schemas.openxmlformats.org/spreadsheetml/2006/main">
  <c r="AB47" i="4"/>
  <c r="N84"/>
  <c r="AC49" s="1"/>
  <c r="N79" i="24"/>
  <c r="N109"/>
  <c r="N108"/>
  <c r="N107"/>
  <c r="N106"/>
  <c r="N105"/>
  <c r="N104"/>
  <c r="N103"/>
  <c r="N102"/>
  <c r="N101"/>
  <c r="N100"/>
  <c r="N99"/>
  <c r="N98"/>
  <c r="N97"/>
  <c r="N96"/>
  <c r="N95"/>
  <c r="N94"/>
  <c r="N93"/>
  <c r="N92"/>
  <c r="N91"/>
  <c r="N90"/>
  <c r="N89"/>
  <c r="N88"/>
  <c r="N87"/>
  <c r="N86"/>
  <c r="N85"/>
  <c r="N84"/>
  <c r="N77"/>
  <c r="N76"/>
  <c r="X72"/>
  <c r="X71"/>
  <c r="X70"/>
  <c r="X69"/>
  <c r="X68"/>
  <c r="X67"/>
  <c r="X66"/>
  <c r="X65"/>
  <c r="X64"/>
  <c r="X63"/>
  <c r="X62"/>
  <c r="X61"/>
  <c r="X60"/>
  <c r="X59"/>
  <c r="X58"/>
  <c r="X57"/>
  <c r="X56"/>
  <c r="X55"/>
  <c r="X54"/>
  <c r="X53"/>
  <c r="X52"/>
  <c r="X51"/>
  <c r="X50"/>
  <c r="X49"/>
  <c r="X48"/>
  <c r="X47"/>
  <c r="M44"/>
  <c r="N43"/>
  <c r="F10"/>
  <c r="F9"/>
  <c r="F7"/>
  <c r="F6"/>
  <c r="F5"/>
  <c r="F4"/>
  <c r="F3"/>
  <c r="J35" i="1"/>
  <c r="M44" i="4"/>
  <c r="M44" i="6"/>
  <c r="M44" i="5"/>
  <c r="M44" i="2"/>
  <c r="N43" i="4"/>
  <c r="N43" i="6"/>
  <c r="N43" i="5"/>
  <c r="N43" i="2"/>
  <c r="K34" i="1"/>
  <c r="R72" i="5"/>
  <c r="R71"/>
  <c r="R70"/>
  <c r="R69"/>
  <c r="R68"/>
  <c r="R67"/>
  <c r="R66"/>
  <c r="R65"/>
  <c r="R64"/>
  <c r="R63"/>
  <c r="R62"/>
  <c r="R61"/>
  <c r="R60"/>
  <c r="R59"/>
  <c r="R58"/>
  <c r="R57"/>
  <c r="R56"/>
  <c r="R55"/>
  <c r="R54"/>
  <c r="R53"/>
  <c r="R52"/>
  <c r="R51"/>
  <c r="R50"/>
  <c r="R49"/>
  <c r="R48"/>
  <c r="R47"/>
  <c r="N83" i="6"/>
  <c r="M63" i="1"/>
  <c r="M62"/>
  <c r="M61"/>
  <c r="M60"/>
  <c r="M59"/>
  <c r="M58"/>
  <c r="M57"/>
  <c r="M56"/>
  <c r="M55"/>
  <c r="M54"/>
  <c r="M53"/>
  <c r="M52"/>
  <c r="M51"/>
  <c r="M50"/>
  <c r="M49"/>
  <c r="M48"/>
  <c r="M47"/>
  <c r="M46"/>
  <c r="M45"/>
  <c r="M44"/>
  <c r="M43"/>
  <c r="M42"/>
  <c r="M41"/>
  <c r="M40"/>
  <c r="M39"/>
  <c r="M38"/>
  <c r="B18" i="22"/>
  <c r="B19"/>
  <c r="B20"/>
  <c r="B21"/>
  <c r="B17"/>
  <c r="L40" i="15"/>
  <c r="AB71" i="4" l="1"/>
  <c r="AB72"/>
  <c r="AB70"/>
  <c r="AB68"/>
  <c r="AB66"/>
  <c r="AB64"/>
  <c r="AB62"/>
  <c r="AB60"/>
  <c r="AB58"/>
  <c r="AB56"/>
  <c r="AB54"/>
  <c r="AB52"/>
  <c r="AB50"/>
  <c r="AB48"/>
  <c r="AC72"/>
  <c r="AC70"/>
  <c r="AC68"/>
  <c r="AC66"/>
  <c r="AC64"/>
  <c r="AC62"/>
  <c r="AC60"/>
  <c r="AC58"/>
  <c r="AC56"/>
  <c r="AC54"/>
  <c r="AC52"/>
  <c r="AC50"/>
  <c r="AC48"/>
  <c r="AB69"/>
  <c r="AB67"/>
  <c r="AB65"/>
  <c r="AB63"/>
  <c r="AB61"/>
  <c r="AB59"/>
  <c r="AB57"/>
  <c r="AB55"/>
  <c r="AB53"/>
  <c r="AB51"/>
  <c r="AB49"/>
  <c r="AC47"/>
  <c r="AC71"/>
  <c r="AC69"/>
  <c r="AC67"/>
  <c r="AC65"/>
  <c r="AC63"/>
  <c r="AC61"/>
  <c r="AC59"/>
  <c r="AC57"/>
  <c r="AC55"/>
  <c r="AC53"/>
  <c r="AC51"/>
  <c r="O54" i="24"/>
  <c r="Q54" s="1"/>
  <c r="N71"/>
  <c r="N69"/>
  <c r="N67"/>
  <c r="N65"/>
  <c r="N63"/>
  <c r="N61"/>
  <c r="N59"/>
  <c r="N57"/>
  <c r="N72"/>
  <c r="N70"/>
  <c r="N68"/>
  <c r="N66"/>
  <c r="N64"/>
  <c r="N62"/>
  <c r="N60"/>
  <c r="N58"/>
  <c r="R71"/>
  <c r="R69"/>
  <c r="R67"/>
  <c r="R65"/>
  <c r="R63"/>
  <c r="R61"/>
  <c r="R59"/>
  <c r="R57"/>
  <c r="R72"/>
  <c r="R70"/>
  <c r="R68"/>
  <c r="R66"/>
  <c r="R64"/>
  <c r="R62"/>
  <c r="R60"/>
  <c r="R58"/>
  <c r="R56"/>
  <c r="U72"/>
  <c r="U70"/>
  <c r="U68"/>
  <c r="U66"/>
  <c r="U64"/>
  <c r="U62"/>
  <c r="U60"/>
  <c r="U58"/>
  <c r="U56"/>
  <c r="U71"/>
  <c r="U69"/>
  <c r="U67"/>
  <c r="U65"/>
  <c r="U63"/>
  <c r="U61"/>
  <c r="U59"/>
  <c r="U57"/>
  <c r="N78"/>
  <c r="P71" s="1"/>
  <c r="N47"/>
  <c r="R47"/>
  <c r="O48"/>
  <c r="Q48" s="1"/>
  <c r="U48"/>
  <c r="N49"/>
  <c r="R49"/>
  <c r="O50"/>
  <c r="Q50" s="1"/>
  <c r="U50"/>
  <c r="N51"/>
  <c r="P51" s="1"/>
  <c r="R51"/>
  <c r="O52"/>
  <c r="Q52" s="1"/>
  <c r="U52"/>
  <c r="N53"/>
  <c r="P53" s="1"/>
  <c r="R53"/>
  <c r="U54"/>
  <c r="N55"/>
  <c r="P55" s="1"/>
  <c r="R55"/>
  <c r="O72"/>
  <c r="Q72" s="1"/>
  <c r="O70"/>
  <c r="Q70" s="1"/>
  <c r="O68"/>
  <c r="Q68" s="1"/>
  <c r="O66"/>
  <c r="Q66" s="1"/>
  <c r="O64"/>
  <c r="Q64" s="1"/>
  <c r="O62"/>
  <c r="Q62" s="1"/>
  <c r="O60"/>
  <c r="Q60" s="1"/>
  <c r="O58"/>
  <c r="Q58" s="1"/>
  <c r="O56"/>
  <c r="Q56" s="1"/>
  <c r="O71"/>
  <c r="Q71" s="1"/>
  <c r="O69"/>
  <c r="Q69" s="1"/>
  <c r="O67"/>
  <c r="Q67" s="1"/>
  <c r="O65"/>
  <c r="Q65" s="1"/>
  <c r="O63"/>
  <c r="Q63" s="1"/>
  <c r="O61"/>
  <c r="Q61" s="1"/>
  <c r="O59"/>
  <c r="Q59" s="1"/>
  <c r="O57"/>
  <c r="Q57" s="1"/>
  <c r="O47"/>
  <c r="Q47" s="1"/>
  <c r="U47"/>
  <c r="N48"/>
  <c r="P48" s="1"/>
  <c r="R48"/>
  <c r="O49"/>
  <c r="Q49" s="1"/>
  <c r="U49"/>
  <c r="N50"/>
  <c r="P50" s="1"/>
  <c r="R50"/>
  <c r="O51"/>
  <c r="Q51" s="1"/>
  <c r="U51"/>
  <c r="N52"/>
  <c r="P52" s="1"/>
  <c r="R52"/>
  <c r="O53"/>
  <c r="Q53" s="1"/>
  <c r="U53"/>
  <c r="N54"/>
  <c r="P54" s="1"/>
  <c r="R54"/>
  <c r="O55"/>
  <c r="Q55" s="1"/>
  <c r="U55"/>
  <c r="N56"/>
  <c r="P56" s="1"/>
  <c r="F61" i="22"/>
  <c r="F62"/>
  <c r="F63"/>
  <c r="F64"/>
  <c r="F65"/>
  <c r="F66"/>
  <c r="F67"/>
  <c r="F68"/>
  <c r="F69"/>
  <c r="F70"/>
  <c r="F71"/>
  <c r="F72"/>
  <c r="F73"/>
  <c r="F74"/>
  <c r="F75"/>
  <c r="F76"/>
  <c r="F77"/>
  <c r="F78"/>
  <c r="F79"/>
  <c r="F80"/>
  <c r="F81"/>
  <c r="F82"/>
  <c r="F83"/>
  <c r="F84"/>
  <c r="F85"/>
  <c r="F60"/>
  <c r="E94"/>
  <c r="F94" s="1"/>
  <c r="E95"/>
  <c r="F95" s="1"/>
  <c r="E96"/>
  <c r="F96" s="1"/>
  <c r="E97"/>
  <c r="F97" s="1"/>
  <c r="E98"/>
  <c r="F98" s="1"/>
  <c r="E99"/>
  <c r="F99" s="1"/>
  <c r="E100"/>
  <c r="F100" s="1"/>
  <c r="E101"/>
  <c r="F101" s="1"/>
  <c r="E102"/>
  <c r="F102" s="1"/>
  <c r="E103"/>
  <c r="F103" s="1"/>
  <c r="E104"/>
  <c r="F104" s="1"/>
  <c r="E105"/>
  <c r="F105" s="1"/>
  <c r="E106"/>
  <c r="F106" s="1"/>
  <c r="E107"/>
  <c r="F107" s="1"/>
  <c r="E108"/>
  <c r="F108" s="1"/>
  <c r="E109"/>
  <c r="F109" s="1"/>
  <c r="E110"/>
  <c r="F110" s="1"/>
  <c r="E111"/>
  <c r="F111" s="1"/>
  <c r="E112"/>
  <c r="F112" s="1"/>
  <c r="E113"/>
  <c r="F113" s="1"/>
  <c r="E114"/>
  <c r="F114" s="1"/>
  <c r="E115"/>
  <c r="F115" s="1"/>
  <c r="E116"/>
  <c r="F116" s="1"/>
  <c r="E117"/>
  <c r="F117" s="1"/>
  <c r="E118"/>
  <c r="F118" s="1"/>
  <c r="E93"/>
  <c r="F93" s="1"/>
  <c r="B94"/>
  <c r="C94" s="1"/>
  <c r="B95"/>
  <c r="B96"/>
  <c r="C96" s="1"/>
  <c r="B97"/>
  <c r="B98"/>
  <c r="C98" s="1"/>
  <c r="B99"/>
  <c r="B100"/>
  <c r="C100" s="1"/>
  <c r="B101"/>
  <c r="B102"/>
  <c r="C102" s="1"/>
  <c r="B103"/>
  <c r="B104"/>
  <c r="C104" s="1"/>
  <c r="B105"/>
  <c r="B106"/>
  <c r="C106" s="1"/>
  <c r="B107"/>
  <c r="B108"/>
  <c r="C108" s="1"/>
  <c r="B109"/>
  <c r="B110"/>
  <c r="C110" s="1"/>
  <c r="B111"/>
  <c r="B112"/>
  <c r="C112" s="1"/>
  <c r="B113"/>
  <c r="B114"/>
  <c r="C114" s="1"/>
  <c r="B115"/>
  <c r="C115" s="1"/>
  <c r="B116"/>
  <c r="B117"/>
  <c r="C117" s="1"/>
  <c r="B118"/>
  <c r="B93"/>
  <c r="I93"/>
  <c r="J93" s="1"/>
  <c r="K94"/>
  <c r="L94" s="1"/>
  <c r="K95"/>
  <c r="L95" s="1"/>
  <c r="K96"/>
  <c r="L96" s="1"/>
  <c r="K97"/>
  <c r="L97" s="1"/>
  <c r="K98"/>
  <c r="L98" s="1"/>
  <c r="K99"/>
  <c r="L99" s="1"/>
  <c r="K100"/>
  <c r="L100" s="1"/>
  <c r="K101"/>
  <c r="L101" s="1"/>
  <c r="K102"/>
  <c r="L102" s="1"/>
  <c r="K103"/>
  <c r="L103" s="1"/>
  <c r="K104"/>
  <c r="L104" s="1"/>
  <c r="K105"/>
  <c r="L105" s="1"/>
  <c r="K106"/>
  <c r="L106" s="1"/>
  <c r="K107"/>
  <c r="L107" s="1"/>
  <c r="K108"/>
  <c r="L108" s="1"/>
  <c r="K109"/>
  <c r="L109" s="1"/>
  <c r="K110"/>
  <c r="L110" s="1"/>
  <c r="K111"/>
  <c r="L111" s="1"/>
  <c r="K112"/>
  <c r="L112" s="1"/>
  <c r="K113"/>
  <c r="L113" s="1"/>
  <c r="K114"/>
  <c r="L114" s="1"/>
  <c r="K115"/>
  <c r="L115" s="1"/>
  <c r="K116"/>
  <c r="L116" s="1"/>
  <c r="K117"/>
  <c r="L117" s="1"/>
  <c r="K118"/>
  <c r="L118" s="1"/>
  <c r="K93"/>
  <c r="L93" s="1"/>
  <c r="I94"/>
  <c r="J94" s="1"/>
  <c r="I95"/>
  <c r="J95" s="1"/>
  <c r="I96"/>
  <c r="J96" s="1"/>
  <c r="I97"/>
  <c r="J97" s="1"/>
  <c r="I98"/>
  <c r="J98" s="1"/>
  <c r="I99"/>
  <c r="J99" s="1"/>
  <c r="I100"/>
  <c r="J100" s="1"/>
  <c r="I101"/>
  <c r="J101" s="1"/>
  <c r="I102"/>
  <c r="J102" s="1"/>
  <c r="I103"/>
  <c r="J103" s="1"/>
  <c r="I104"/>
  <c r="J104" s="1"/>
  <c r="I105"/>
  <c r="J105" s="1"/>
  <c r="I106"/>
  <c r="J106" s="1"/>
  <c r="I107"/>
  <c r="J107" s="1"/>
  <c r="I108"/>
  <c r="J108" s="1"/>
  <c r="I109"/>
  <c r="J109" s="1"/>
  <c r="I110"/>
  <c r="J110" s="1"/>
  <c r="I111"/>
  <c r="J111" s="1"/>
  <c r="I112"/>
  <c r="J112" s="1"/>
  <c r="I113"/>
  <c r="J113" s="1"/>
  <c r="I114"/>
  <c r="J114" s="1"/>
  <c r="I115"/>
  <c r="J115" s="1"/>
  <c r="I116"/>
  <c r="J116" s="1"/>
  <c r="I117"/>
  <c r="J117" s="1"/>
  <c r="I118"/>
  <c r="J118" s="1"/>
  <c r="G94"/>
  <c r="H94" s="1"/>
  <c r="G95"/>
  <c r="H95" s="1"/>
  <c r="G96"/>
  <c r="H96" s="1"/>
  <c r="G97"/>
  <c r="H97" s="1"/>
  <c r="G98"/>
  <c r="H98" s="1"/>
  <c r="G99"/>
  <c r="H99" s="1"/>
  <c r="G100"/>
  <c r="H100" s="1"/>
  <c r="G101"/>
  <c r="H101" s="1"/>
  <c r="G102"/>
  <c r="H102" s="1"/>
  <c r="G103"/>
  <c r="H103" s="1"/>
  <c r="G104"/>
  <c r="H104" s="1"/>
  <c r="G105"/>
  <c r="H105" s="1"/>
  <c r="G106"/>
  <c r="H106" s="1"/>
  <c r="G107"/>
  <c r="H107" s="1"/>
  <c r="G108"/>
  <c r="H108" s="1"/>
  <c r="G109"/>
  <c r="H109" s="1"/>
  <c r="G110"/>
  <c r="H110" s="1"/>
  <c r="G111"/>
  <c r="H111" s="1"/>
  <c r="G112"/>
  <c r="H112" s="1"/>
  <c r="G113"/>
  <c r="H113" s="1"/>
  <c r="G114"/>
  <c r="H114" s="1"/>
  <c r="G115"/>
  <c r="H115" s="1"/>
  <c r="G116"/>
  <c r="H116" s="1"/>
  <c r="G117"/>
  <c r="H117" s="1"/>
  <c r="G118"/>
  <c r="H118" s="1"/>
  <c r="G93"/>
  <c r="H93" s="1"/>
  <c r="D94"/>
  <c r="D95"/>
  <c r="D96"/>
  <c r="D97"/>
  <c r="D98"/>
  <c r="D99"/>
  <c r="D100"/>
  <c r="D101"/>
  <c r="D102"/>
  <c r="D103"/>
  <c r="D104"/>
  <c r="D105"/>
  <c r="D106"/>
  <c r="D107"/>
  <c r="D108"/>
  <c r="D109"/>
  <c r="D110"/>
  <c r="D111"/>
  <c r="D112"/>
  <c r="D113"/>
  <c r="D114"/>
  <c r="D115"/>
  <c r="D116"/>
  <c r="D117"/>
  <c r="D118"/>
  <c r="D93"/>
  <c r="P64" i="24" l="1"/>
  <c r="P58"/>
  <c r="P72"/>
  <c r="S56"/>
  <c r="T56" s="1"/>
  <c r="P49"/>
  <c r="P47"/>
  <c r="S47" s="1"/>
  <c r="T47" s="1"/>
  <c r="P60"/>
  <c r="P68"/>
  <c r="S68" s="1"/>
  <c r="T68" s="1"/>
  <c r="P59"/>
  <c r="P63"/>
  <c r="S63" s="1"/>
  <c r="T63" s="1"/>
  <c r="P62"/>
  <c r="P66"/>
  <c r="S66" s="1"/>
  <c r="T66" s="1"/>
  <c r="P70"/>
  <c r="S70" s="1"/>
  <c r="T70" s="1"/>
  <c r="P57"/>
  <c r="S57" s="1"/>
  <c r="T57" s="1"/>
  <c r="P61"/>
  <c r="S61" s="1"/>
  <c r="T61" s="1"/>
  <c r="P65"/>
  <c r="S65" s="1"/>
  <c r="T65" s="1"/>
  <c r="P69"/>
  <c r="S69" s="1"/>
  <c r="T69" s="1"/>
  <c r="P67"/>
  <c r="S67" s="1"/>
  <c r="T67" s="1"/>
  <c r="S52"/>
  <c r="T52" s="1"/>
  <c r="S48"/>
  <c r="T48" s="1"/>
  <c r="S55"/>
  <c r="T55" s="1"/>
  <c r="S53"/>
  <c r="T53" s="1"/>
  <c r="S49"/>
  <c r="T49" s="1"/>
  <c r="S54"/>
  <c r="T54" s="1"/>
  <c r="S50"/>
  <c r="T50" s="1"/>
  <c r="S51"/>
  <c r="T51" s="1"/>
  <c r="S58"/>
  <c r="T58" s="1"/>
  <c r="S60"/>
  <c r="T60" s="1"/>
  <c r="S62"/>
  <c r="T62" s="1"/>
  <c r="S64"/>
  <c r="T64" s="1"/>
  <c r="S72"/>
  <c r="T72" s="1"/>
  <c r="S59"/>
  <c r="T59" s="1"/>
  <c r="S71"/>
  <c r="T71" s="1"/>
  <c r="X51" i="22"/>
  <c r="T51"/>
  <c r="CB51"/>
  <c r="BX51"/>
  <c r="BT51"/>
  <c r="BP51"/>
  <c r="BL51"/>
  <c r="BH51"/>
  <c r="BD51"/>
  <c r="AZ51"/>
  <c r="AV51"/>
  <c r="AR51"/>
  <c r="AN51"/>
  <c r="AJ51"/>
  <c r="AF51"/>
  <c r="AB51"/>
  <c r="P51"/>
  <c r="L51"/>
  <c r="X49"/>
  <c r="T49"/>
  <c r="CB49"/>
  <c r="BX49"/>
  <c r="BT49"/>
  <c r="BP49"/>
  <c r="BL49"/>
  <c r="BH49"/>
  <c r="BD49"/>
  <c r="AZ49"/>
  <c r="AV49"/>
  <c r="AR49"/>
  <c r="AN49"/>
  <c r="AJ49"/>
  <c r="AF49"/>
  <c r="AB49"/>
  <c r="P49"/>
  <c r="L49"/>
  <c r="X48"/>
  <c r="T48"/>
  <c r="CB48"/>
  <c r="BX48"/>
  <c r="BT48"/>
  <c r="BP48"/>
  <c r="BL48"/>
  <c r="BH48"/>
  <c r="BD48"/>
  <c r="AZ48"/>
  <c r="AV48"/>
  <c r="AR48"/>
  <c r="AN48"/>
  <c r="AJ48"/>
  <c r="AF48"/>
  <c r="AB48"/>
  <c r="P48"/>
  <c r="L48"/>
  <c r="X46"/>
  <c r="T46"/>
  <c r="CB46"/>
  <c r="BX46"/>
  <c r="BT46"/>
  <c r="BP46"/>
  <c r="BL46"/>
  <c r="BH46"/>
  <c r="BD46"/>
  <c r="AZ46"/>
  <c r="AV46"/>
  <c r="AR46"/>
  <c r="AN46"/>
  <c r="AJ46"/>
  <c r="AF46"/>
  <c r="AB46"/>
  <c r="P46"/>
  <c r="L46"/>
  <c r="X44"/>
  <c r="T44"/>
  <c r="CB44"/>
  <c r="BX44"/>
  <c r="BT44"/>
  <c r="BP44"/>
  <c r="BL44"/>
  <c r="BH44"/>
  <c r="BD44"/>
  <c r="AZ44"/>
  <c r="AV44"/>
  <c r="AR44"/>
  <c r="AN44"/>
  <c r="AJ44"/>
  <c r="AF44"/>
  <c r="AB44"/>
  <c r="P44"/>
  <c r="L44"/>
  <c r="X42"/>
  <c r="T42"/>
  <c r="CB42"/>
  <c r="BX42"/>
  <c r="BT42"/>
  <c r="BP42"/>
  <c r="BL42"/>
  <c r="BH42"/>
  <c r="BD42"/>
  <c r="AZ42"/>
  <c r="AV42"/>
  <c r="AR42"/>
  <c r="AN42"/>
  <c r="AJ42"/>
  <c r="AF42"/>
  <c r="AB42"/>
  <c r="P42"/>
  <c r="L42"/>
  <c r="X40"/>
  <c r="T40"/>
  <c r="CB40"/>
  <c r="BX40"/>
  <c r="BT40"/>
  <c r="BP40"/>
  <c r="BL40"/>
  <c r="BH40"/>
  <c r="BD40"/>
  <c r="AZ40"/>
  <c r="AV40"/>
  <c r="AR40"/>
  <c r="AN40"/>
  <c r="AJ40"/>
  <c r="AF40"/>
  <c r="AB40"/>
  <c r="P40"/>
  <c r="L40"/>
  <c r="X38"/>
  <c r="T38"/>
  <c r="CB38"/>
  <c r="BX38"/>
  <c r="BT38"/>
  <c r="BP38"/>
  <c r="BL38"/>
  <c r="BH38"/>
  <c r="BD38"/>
  <c r="AZ38"/>
  <c r="AV38"/>
  <c r="AR38"/>
  <c r="AN38"/>
  <c r="AJ38"/>
  <c r="AF38"/>
  <c r="AB38"/>
  <c r="P38"/>
  <c r="L38"/>
  <c r="X36"/>
  <c r="T36"/>
  <c r="CB36"/>
  <c r="BX36"/>
  <c r="BT36"/>
  <c r="BP36"/>
  <c r="BL36"/>
  <c r="BH36"/>
  <c r="BD36"/>
  <c r="AZ36"/>
  <c r="AV36"/>
  <c r="AR36"/>
  <c r="AN36"/>
  <c r="AJ36"/>
  <c r="AF36"/>
  <c r="AB36"/>
  <c r="P36"/>
  <c r="L36"/>
  <c r="X34"/>
  <c r="T34"/>
  <c r="CB34"/>
  <c r="BX34"/>
  <c r="BT34"/>
  <c r="BP34"/>
  <c r="BL34"/>
  <c r="BH34"/>
  <c r="BD34"/>
  <c r="AZ34"/>
  <c r="AV34"/>
  <c r="AR34"/>
  <c r="AN34"/>
  <c r="AJ34"/>
  <c r="AF34"/>
  <c r="AB34"/>
  <c r="P34"/>
  <c r="L34"/>
  <c r="X32"/>
  <c r="T32"/>
  <c r="CB32"/>
  <c r="BX32"/>
  <c r="BT32"/>
  <c r="BP32"/>
  <c r="BL32"/>
  <c r="BH32"/>
  <c r="BD32"/>
  <c r="AZ32"/>
  <c r="AV32"/>
  <c r="AR32"/>
  <c r="AN32"/>
  <c r="AJ32"/>
  <c r="AF32"/>
  <c r="AB32"/>
  <c r="P32"/>
  <c r="L32"/>
  <c r="X30"/>
  <c r="T30"/>
  <c r="CB30"/>
  <c r="BX30"/>
  <c r="BT30"/>
  <c r="BP30"/>
  <c r="BL30"/>
  <c r="BH30"/>
  <c r="BD30"/>
  <c r="AZ30"/>
  <c r="AV30"/>
  <c r="AR30"/>
  <c r="AN30"/>
  <c r="AJ30"/>
  <c r="AF30"/>
  <c r="AB30"/>
  <c r="P30"/>
  <c r="L30"/>
  <c r="X28"/>
  <c r="T28"/>
  <c r="CB28"/>
  <c r="BX28"/>
  <c r="BT28"/>
  <c r="BP28"/>
  <c r="BL28"/>
  <c r="BH28"/>
  <c r="BD28"/>
  <c r="AZ28"/>
  <c r="AV28"/>
  <c r="AR28"/>
  <c r="AN28"/>
  <c r="AJ28"/>
  <c r="AF28"/>
  <c r="AB28"/>
  <c r="P28"/>
  <c r="L28"/>
  <c r="H51"/>
  <c r="H49"/>
  <c r="H48"/>
  <c r="H46"/>
  <c r="H44"/>
  <c r="H42"/>
  <c r="H40"/>
  <c r="H38"/>
  <c r="H36"/>
  <c r="H34"/>
  <c r="H32"/>
  <c r="H30"/>
  <c r="H28"/>
  <c r="D51"/>
  <c r="B84" s="1"/>
  <c r="D84" s="1"/>
  <c r="D49"/>
  <c r="B82" s="1"/>
  <c r="D82" s="1"/>
  <c r="D48"/>
  <c r="D46"/>
  <c r="D44"/>
  <c r="D42"/>
  <c r="D40"/>
  <c r="D38"/>
  <c r="D36"/>
  <c r="D34"/>
  <c r="D32"/>
  <c r="D30"/>
  <c r="D28"/>
  <c r="C93"/>
  <c r="C118"/>
  <c r="C116"/>
  <c r="C113"/>
  <c r="C111"/>
  <c r="C109"/>
  <c r="C107"/>
  <c r="C105"/>
  <c r="C103"/>
  <c r="C101"/>
  <c r="C99"/>
  <c r="C97"/>
  <c r="C95"/>
  <c r="W71" i="24" l="1"/>
  <c r="V71"/>
  <c r="W59"/>
  <c r="V59"/>
  <c r="V66"/>
  <c r="W66"/>
  <c r="V62"/>
  <c r="W62"/>
  <c r="V58"/>
  <c r="W58"/>
  <c r="V50"/>
  <c r="W50"/>
  <c r="V49"/>
  <c r="W49"/>
  <c r="W55"/>
  <c r="V55"/>
  <c r="W52"/>
  <c r="V52"/>
  <c r="V69"/>
  <c r="W69"/>
  <c r="V61"/>
  <c r="W61"/>
  <c r="V70"/>
  <c r="W70"/>
  <c r="V65"/>
  <c r="W65"/>
  <c r="W72"/>
  <c r="V72"/>
  <c r="W64"/>
  <c r="V64"/>
  <c r="W60"/>
  <c r="V60"/>
  <c r="W51"/>
  <c r="V51"/>
  <c r="V54"/>
  <c r="W54"/>
  <c r="V53"/>
  <c r="W53"/>
  <c r="W48"/>
  <c r="V48"/>
  <c r="W67"/>
  <c r="V67"/>
  <c r="V57"/>
  <c r="W57"/>
  <c r="M13" s="1"/>
  <c r="Q94" s="1"/>
  <c r="W63"/>
  <c r="V63"/>
  <c r="M19" s="1"/>
  <c r="Q100" s="1"/>
  <c r="W68"/>
  <c r="V68"/>
  <c r="V47"/>
  <c r="W47"/>
  <c r="W56"/>
  <c r="V56"/>
  <c r="M6"/>
  <c r="Q87" s="1"/>
  <c r="M10"/>
  <c r="Q91" s="1"/>
  <c r="M17"/>
  <c r="Q98" s="1"/>
  <c r="M21"/>
  <c r="Q102" s="1"/>
  <c r="M15"/>
  <c r="Q96" s="1"/>
  <c r="M8"/>
  <c r="Q89" s="1"/>
  <c r="B67" i="22"/>
  <c r="D67" s="1"/>
  <c r="CB29"/>
  <c r="BX29"/>
  <c r="BT29"/>
  <c r="BP29"/>
  <c r="BL29"/>
  <c r="BH29"/>
  <c r="BD29"/>
  <c r="AZ29"/>
  <c r="AV29"/>
  <c r="AR29"/>
  <c r="AN29"/>
  <c r="AJ29"/>
  <c r="AF29"/>
  <c r="AB29"/>
  <c r="P29"/>
  <c r="X29"/>
  <c r="T29"/>
  <c r="L29"/>
  <c r="CB33"/>
  <c r="BX33"/>
  <c r="BT33"/>
  <c r="BP33"/>
  <c r="BL33"/>
  <c r="BH33"/>
  <c r="BD33"/>
  <c r="AZ33"/>
  <c r="AV33"/>
  <c r="AR33"/>
  <c r="AN33"/>
  <c r="AJ33"/>
  <c r="AF33"/>
  <c r="AB33"/>
  <c r="P33"/>
  <c r="X33"/>
  <c r="T33"/>
  <c r="L33"/>
  <c r="CB37"/>
  <c r="BX37"/>
  <c r="BT37"/>
  <c r="BP37"/>
  <c r="BL37"/>
  <c r="BH37"/>
  <c r="BD37"/>
  <c r="AZ37"/>
  <c r="AV37"/>
  <c r="AR37"/>
  <c r="AN37"/>
  <c r="AJ37"/>
  <c r="AF37"/>
  <c r="AB37"/>
  <c r="X37"/>
  <c r="T37"/>
  <c r="L37"/>
  <c r="P37"/>
  <c r="CB41"/>
  <c r="BX41"/>
  <c r="BT41"/>
  <c r="BP41"/>
  <c r="BL41"/>
  <c r="BH41"/>
  <c r="BD41"/>
  <c r="AZ41"/>
  <c r="AV41"/>
  <c r="AR41"/>
  <c r="AN41"/>
  <c r="AJ41"/>
  <c r="AF41"/>
  <c r="AB41"/>
  <c r="X41"/>
  <c r="T41"/>
  <c r="L41"/>
  <c r="P41"/>
  <c r="CB45"/>
  <c r="BX45"/>
  <c r="BT45"/>
  <c r="BP45"/>
  <c r="BL45"/>
  <c r="BH45"/>
  <c r="BD45"/>
  <c r="AZ45"/>
  <c r="AV45"/>
  <c r="AR45"/>
  <c r="AN45"/>
  <c r="AJ45"/>
  <c r="AF45"/>
  <c r="AB45"/>
  <c r="X45"/>
  <c r="T45"/>
  <c r="L45"/>
  <c r="P45"/>
  <c r="CB52"/>
  <c r="BX52"/>
  <c r="BT52"/>
  <c r="BP52"/>
  <c r="BL52"/>
  <c r="BH52"/>
  <c r="BD52"/>
  <c r="AZ52"/>
  <c r="AV52"/>
  <c r="AR52"/>
  <c r="AN52"/>
  <c r="AJ52"/>
  <c r="AF52"/>
  <c r="AB52"/>
  <c r="X52"/>
  <c r="T52"/>
  <c r="L52"/>
  <c r="P52"/>
  <c r="CB31"/>
  <c r="BX31"/>
  <c r="BT31"/>
  <c r="BP31"/>
  <c r="BL31"/>
  <c r="BH31"/>
  <c r="BD31"/>
  <c r="AZ31"/>
  <c r="AV31"/>
  <c r="AR31"/>
  <c r="AN31"/>
  <c r="AJ31"/>
  <c r="AF31"/>
  <c r="AB31"/>
  <c r="P31"/>
  <c r="X31"/>
  <c r="T31"/>
  <c r="L31"/>
  <c r="CB35"/>
  <c r="BX35"/>
  <c r="BT35"/>
  <c r="BP35"/>
  <c r="BL35"/>
  <c r="BH35"/>
  <c r="BD35"/>
  <c r="AZ35"/>
  <c r="AV35"/>
  <c r="AR35"/>
  <c r="AN35"/>
  <c r="AJ35"/>
  <c r="AF35"/>
  <c r="AB35"/>
  <c r="P35"/>
  <c r="X35"/>
  <c r="T35"/>
  <c r="L35"/>
  <c r="CB39"/>
  <c r="BX39"/>
  <c r="BT39"/>
  <c r="BP39"/>
  <c r="BL39"/>
  <c r="BH39"/>
  <c r="BD39"/>
  <c r="AZ39"/>
  <c r="AV39"/>
  <c r="AR39"/>
  <c r="AN39"/>
  <c r="AJ39"/>
  <c r="AF39"/>
  <c r="AB39"/>
  <c r="X39"/>
  <c r="T39"/>
  <c r="P39"/>
  <c r="L39"/>
  <c r="CB43"/>
  <c r="BX43"/>
  <c r="BT43"/>
  <c r="BP43"/>
  <c r="BL43"/>
  <c r="BH43"/>
  <c r="BD43"/>
  <c r="AZ43"/>
  <c r="AV43"/>
  <c r="AR43"/>
  <c r="AN43"/>
  <c r="AJ43"/>
  <c r="AF43"/>
  <c r="AB43"/>
  <c r="X43"/>
  <c r="T43"/>
  <c r="P43"/>
  <c r="L43"/>
  <c r="CB47"/>
  <c r="BX47"/>
  <c r="BT47"/>
  <c r="BP47"/>
  <c r="BL47"/>
  <c r="BH47"/>
  <c r="BD47"/>
  <c r="AZ47"/>
  <c r="AV47"/>
  <c r="AR47"/>
  <c r="AN47"/>
  <c r="AJ47"/>
  <c r="AF47"/>
  <c r="AB47"/>
  <c r="X47"/>
  <c r="T47"/>
  <c r="P47"/>
  <c r="L47"/>
  <c r="CB50"/>
  <c r="BX50"/>
  <c r="BT50"/>
  <c r="BP50"/>
  <c r="BL50"/>
  <c r="BH50"/>
  <c r="BD50"/>
  <c r="AZ50"/>
  <c r="AV50"/>
  <c r="AR50"/>
  <c r="AN50"/>
  <c r="AJ50"/>
  <c r="AF50"/>
  <c r="AB50"/>
  <c r="X50"/>
  <c r="T50"/>
  <c r="P50"/>
  <c r="L50"/>
  <c r="CB27"/>
  <c r="BX27"/>
  <c r="BT27"/>
  <c r="BP27"/>
  <c r="BL27"/>
  <c r="BH27"/>
  <c r="BD27"/>
  <c r="AZ27"/>
  <c r="AV27"/>
  <c r="AR27"/>
  <c r="AN27"/>
  <c r="AJ27"/>
  <c r="AF27"/>
  <c r="AB27"/>
  <c r="T27"/>
  <c r="X27"/>
  <c r="P27"/>
  <c r="L27"/>
  <c r="D31"/>
  <c r="H31"/>
  <c r="D35"/>
  <c r="H35"/>
  <c r="D39"/>
  <c r="H39"/>
  <c r="D43"/>
  <c r="H43"/>
  <c r="D47"/>
  <c r="H47"/>
  <c r="D50"/>
  <c r="H50"/>
  <c r="D27"/>
  <c r="H27"/>
  <c r="D29"/>
  <c r="H29"/>
  <c r="D33"/>
  <c r="H33"/>
  <c r="D37"/>
  <c r="H37"/>
  <c r="D41"/>
  <c r="H41"/>
  <c r="D45"/>
  <c r="H45"/>
  <c r="D52"/>
  <c r="H52"/>
  <c r="B83"/>
  <c r="D83" s="1"/>
  <c r="B73"/>
  <c r="D73" s="1"/>
  <c r="B63"/>
  <c r="D63" s="1"/>
  <c r="B81"/>
  <c r="D81" s="1"/>
  <c r="B61"/>
  <c r="D61" s="1"/>
  <c r="B65"/>
  <c r="D65" s="1"/>
  <c r="B69"/>
  <c r="D69" s="1"/>
  <c r="B71"/>
  <c r="D71" s="1"/>
  <c r="B77"/>
  <c r="D77" s="1"/>
  <c r="B75"/>
  <c r="D75" s="1"/>
  <c r="B79"/>
  <c r="D79" s="1"/>
  <c r="O47" i="6"/>
  <c r="P47" i="15"/>
  <c r="P48"/>
  <c r="P49"/>
  <c r="P50"/>
  <c r="P51"/>
  <c r="P52"/>
  <c r="P53"/>
  <c r="P54"/>
  <c r="P55"/>
  <c r="P56"/>
  <c r="P57"/>
  <c r="P58"/>
  <c r="P59"/>
  <c r="P60"/>
  <c r="P61"/>
  <c r="P62"/>
  <c r="P63"/>
  <c r="P64"/>
  <c r="P65"/>
  <c r="P66"/>
  <c r="P67"/>
  <c r="P68"/>
  <c r="P69"/>
  <c r="P70"/>
  <c r="P71"/>
  <c r="P46"/>
  <c r="L41"/>
  <c r="F5"/>
  <c r="R96" i="24" l="1"/>
  <c r="R100"/>
  <c r="R102"/>
  <c r="R94"/>
  <c r="R87"/>
  <c r="U87" s="1"/>
  <c r="R89"/>
  <c r="V98"/>
  <c r="R98"/>
  <c r="R91"/>
  <c r="U91" s="1"/>
  <c r="O89"/>
  <c r="K21"/>
  <c r="P102" s="1"/>
  <c r="T102" s="1"/>
  <c r="O102"/>
  <c r="O94"/>
  <c r="O87"/>
  <c r="K15"/>
  <c r="P96" s="1"/>
  <c r="T96" s="1"/>
  <c r="O96"/>
  <c r="K19"/>
  <c r="P100" s="1"/>
  <c r="T100" s="1"/>
  <c r="O100"/>
  <c r="O98"/>
  <c r="O91"/>
  <c r="M9"/>
  <c r="Q90" s="1"/>
  <c r="M11"/>
  <c r="Q92" s="1"/>
  <c r="M16"/>
  <c r="Q97" s="1"/>
  <c r="M24"/>
  <c r="Q105" s="1"/>
  <c r="M5"/>
  <c r="Q86" s="1"/>
  <c r="M12"/>
  <c r="Q93" s="1"/>
  <c r="M20"/>
  <c r="Q101" s="1"/>
  <c r="M28"/>
  <c r="Q109" s="1"/>
  <c r="M27"/>
  <c r="Q108" s="1"/>
  <c r="M23"/>
  <c r="Q104" s="1"/>
  <c r="M26"/>
  <c r="Q107" s="1"/>
  <c r="M18"/>
  <c r="Q99" s="1"/>
  <c r="M14"/>
  <c r="Q95" s="1"/>
  <c r="M7"/>
  <c r="Q88" s="1"/>
  <c r="M3"/>
  <c r="Q84" s="1"/>
  <c r="M25"/>
  <c r="Q106" s="1"/>
  <c r="M4"/>
  <c r="Q85" s="1"/>
  <c r="K17"/>
  <c r="P98" s="1"/>
  <c r="T98" s="1"/>
  <c r="K13"/>
  <c r="P94" s="1"/>
  <c r="T94" s="1"/>
  <c r="K6"/>
  <c r="P87" s="1"/>
  <c r="T87" s="1"/>
  <c r="U96"/>
  <c r="V96"/>
  <c r="U100"/>
  <c r="V100"/>
  <c r="U98"/>
  <c r="U102"/>
  <c r="V102"/>
  <c r="U94"/>
  <c r="V94"/>
  <c r="V91"/>
  <c r="V87"/>
  <c r="K10"/>
  <c r="P91" s="1"/>
  <c r="T91" s="1"/>
  <c r="B76" i="22"/>
  <c r="D76" s="1"/>
  <c r="B66"/>
  <c r="D66" s="1"/>
  <c r="B62"/>
  <c r="D62" s="1"/>
  <c r="B72"/>
  <c r="D72" s="1"/>
  <c r="B64"/>
  <c r="D64" s="1"/>
  <c r="B74"/>
  <c r="D74" s="1"/>
  <c r="B80"/>
  <c r="D80" s="1"/>
  <c r="B85"/>
  <c r="D85" s="1"/>
  <c r="B78"/>
  <c r="D78" s="1"/>
  <c r="B70"/>
  <c r="D70" s="1"/>
  <c r="B60"/>
  <c r="D60" s="1"/>
  <c r="B68"/>
  <c r="D68" s="1"/>
  <c r="M47" i="15"/>
  <c r="M48"/>
  <c r="M49"/>
  <c r="M50"/>
  <c r="M51"/>
  <c r="M52"/>
  <c r="M53"/>
  <c r="M54"/>
  <c r="M55"/>
  <c r="M56"/>
  <c r="M57"/>
  <c r="M58"/>
  <c r="M59"/>
  <c r="M60"/>
  <c r="M61"/>
  <c r="M62"/>
  <c r="M63"/>
  <c r="M64"/>
  <c r="M65"/>
  <c r="M66"/>
  <c r="M67"/>
  <c r="M68"/>
  <c r="M69"/>
  <c r="M70"/>
  <c r="M71"/>
  <c r="M46"/>
  <c r="K47"/>
  <c r="K48"/>
  <c r="Q48" s="1"/>
  <c r="R48" s="1"/>
  <c r="K49"/>
  <c r="K50"/>
  <c r="Q50" s="1"/>
  <c r="R50" s="1"/>
  <c r="K51"/>
  <c r="Q51" s="1"/>
  <c r="R51" s="1"/>
  <c r="K52"/>
  <c r="Q52" s="1"/>
  <c r="R52" s="1"/>
  <c r="K53"/>
  <c r="Q53" s="1"/>
  <c r="R53" s="1"/>
  <c r="K54"/>
  <c r="Q54" s="1"/>
  <c r="R54" s="1"/>
  <c r="K55"/>
  <c r="Q55" s="1"/>
  <c r="R55" s="1"/>
  <c r="K56"/>
  <c r="Q56" s="1"/>
  <c r="R56" s="1"/>
  <c r="K57"/>
  <c r="Q57" s="1"/>
  <c r="R57" s="1"/>
  <c r="K58"/>
  <c r="Q58" s="1"/>
  <c r="R58" s="1"/>
  <c r="K59"/>
  <c r="Q59" s="1"/>
  <c r="R59" s="1"/>
  <c r="K60"/>
  <c r="Q60" s="1"/>
  <c r="R60" s="1"/>
  <c r="K61"/>
  <c r="Q61" s="1"/>
  <c r="R61" s="1"/>
  <c r="K62"/>
  <c r="Q62" s="1"/>
  <c r="R62" s="1"/>
  <c r="K63"/>
  <c r="Q63" s="1"/>
  <c r="R63" s="1"/>
  <c r="K64"/>
  <c r="Q64" s="1"/>
  <c r="R64" s="1"/>
  <c r="K65"/>
  <c r="Q65" s="1"/>
  <c r="R65" s="1"/>
  <c r="K66"/>
  <c r="Q66" s="1"/>
  <c r="R66" s="1"/>
  <c r="K67"/>
  <c r="Q67" s="1"/>
  <c r="R67" s="1"/>
  <c r="K68"/>
  <c r="K69"/>
  <c r="K70"/>
  <c r="Q70" s="1"/>
  <c r="R70" s="1"/>
  <c r="K71"/>
  <c r="Q71" s="1"/>
  <c r="R71" s="1"/>
  <c r="K46"/>
  <c r="Q46" s="1"/>
  <c r="R46" s="1"/>
  <c r="F4"/>
  <c r="L39"/>
  <c r="L47" s="1"/>
  <c r="R106" i="24" l="1"/>
  <c r="U106" s="1"/>
  <c r="R88"/>
  <c r="R99"/>
  <c r="R104"/>
  <c r="U104" s="1"/>
  <c r="R109"/>
  <c r="R93"/>
  <c r="R105"/>
  <c r="V105"/>
  <c r="R92"/>
  <c r="U92" s="1"/>
  <c r="R85"/>
  <c r="U85" s="1"/>
  <c r="R95"/>
  <c r="V95"/>
  <c r="R107"/>
  <c r="R108"/>
  <c r="U108" s="1"/>
  <c r="R101"/>
  <c r="V101"/>
  <c r="R86"/>
  <c r="R97"/>
  <c r="R90"/>
  <c r="K3"/>
  <c r="P84" s="1"/>
  <c r="T84" s="1"/>
  <c r="R84"/>
  <c r="U84" s="1"/>
  <c r="K25"/>
  <c r="P106" s="1"/>
  <c r="T106" s="1"/>
  <c r="O106"/>
  <c r="V106"/>
  <c r="O88"/>
  <c r="O99"/>
  <c r="K23"/>
  <c r="P104" s="1"/>
  <c r="T104" s="1"/>
  <c r="O104"/>
  <c r="V104"/>
  <c r="O109"/>
  <c r="O93"/>
  <c r="O105"/>
  <c r="O92"/>
  <c r="V92"/>
  <c r="K4"/>
  <c r="P85" s="1"/>
  <c r="T85" s="1"/>
  <c r="V85"/>
  <c r="O85"/>
  <c r="O84"/>
  <c r="S84" s="1"/>
  <c r="O95"/>
  <c r="V107"/>
  <c r="O107"/>
  <c r="K27"/>
  <c r="P108" s="1"/>
  <c r="T108" s="1"/>
  <c r="O108"/>
  <c r="S108" s="1"/>
  <c r="V108"/>
  <c r="O101"/>
  <c r="O86"/>
  <c r="O97"/>
  <c r="O90"/>
  <c r="M22"/>
  <c r="Q103" s="1"/>
  <c r="V84"/>
  <c r="U105"/>
  <c r="K24"/>
  <c r="P105" s="1"/>
  <c r="T105" s="1"/>
  <c r="U107"/>
  <c r="K26"/>
  <c r="P107" s="1"/>
  <c r="T107" s="1"/>
  <c r="K11"/>
  <c r="P92" s="1"/>
  <c r="T92" s="1"/>
  <c r="U93"/>
  <c r="V93"/>
  <c r="K12"/>
  <c r="P93" s="1"/>
  <c r="T93" s="1"/>
  <c r="W87"/>
  <c r="S87"/>
  <c r="W94"/>
  <c r="S94"/>
  <c r="U88"/>
  <c r="V88"/>
  <c r="K7"/>
  <c r="P88" s="1"/>
  <c r="T88" s="1"/>
  <c r="U97"/>
  <c r="V97"/>
  <c r="K16"/>
  <c r="P97" s="1"/>
  <c r="T97" s="1"/>
  <c r="U86"/>
  <c r="V86"/>
  <c r="K5"/>
  <c r="P86" s="1"/>
  <c r="T86" s="1"/>
  <c r="W98"/>
  <c r="S98"/>
  <c r="W100"/>
  <c r="S100"/>
  <c r="U95"/>
  <c r="K14"/>
  <c r="P95" s="1"/>
  <c r="T95" s="1"/>
  <c r="U109"/>
  <c r="V109"/>
  <c r="K28"/>
  <c r="P109" s="1"/>
  <c r="T109" s="1"/>
  <c r="U90"/>
  <c r="V90"/>
  <c r="K9"/>
  <c r="P90" s="1"/>
  <c r="T90" s="1"/>
  <c r="W91"/>
  <c r="S91"/>
  <c r="W102"/>
  <c r="S102"/>
  <c r="S104"/>
  <c r="U99"/>
  <c r="V99"/>
  <c r="K18"/>
  <c r="P99" s="1"/>
  <c r="T99" s="1"/>
  <c r="U101"/>
  <c r="K20"/>
  <c r="P101" s="1"/>
  <c r="T101" s="1"/>
  <c r="U89"/>
  <c r="V89"/>
  <c r="K8"/>
  <c r="P89" s="1"/>
  <c r="T89" s="1"/>
  <c r="W106"/>
  <c r="S106"/>
  <c r="W96"/>
  <c r="S96"/>
  <c r="W85"/>
  <c r="S85"/>
  <c r="Q49" i="15"/>
  <c r="R49" s="1"/>
  <c r="Q47"/>
  <c r="R47" s="1"/>
  <c r="Q68"/>
  <c r="R68" s="1"/>
  <c r="Q69"/>
  <c r="R69" s="1"/>
  <c r="K24"/>
  <c r="L46"/>
  <c r="L71"/>
  <c r="N71" s="1"/>
  <c r="O71" s="1"/>
  <c r="L69"/>
  <c r="L66"/>
  <c r="L64"/>
  <c r="N64" s="1"/>
  <c r="O64" s="1"/>
  <c r="L62"/>
  <c r="L60"/>
  <c r="N60" s="1"/>
  <c r="O60" s="1"/>
  <c r="L58"/>
  <c r="L56"/>
  <c r="N56" s="1"/>
  <c r="O56" s="1"/>
  <c r="L54"/>
  <c r="L52"/>
  <c r="N52" s="1"/>
  <c r="O52" s="1"/>
  <c r="L50"/>
  <c r="L48"/>
  <c r="N48" s="1"/>
  <c r="O48" s="1"/>
  <c r="L70"/>
  <c r="N70" s="1"/>
  <c r="O70" s="1"/>
  <c r="L68"/>
  <c r="N68" s="1"/>
  <c r="O68" s="1"/>
  <c r="L67"/>
  <c r="N67" s="1"/>
  <c r="O67" s="1"/>
  <c r="L65"/>
  <c r="L63"/>
  <c r="N63" s="1"/>
  <c r="O63" s="1"/>
  <c r="L61"/>
  <c r="N61" s="1"/>
  <c r="O61" s="1"/>
  <c r="L59"/>
  <c r="N59" s="1"/>
  <c r="O59" s="1"/>
  <c r="L57"/>
  <c r="L55"/>
  <c r="N55" s="1"/>
  <c r="O55" s="1"/>
  <c r="L53"/>
  <c r="N53" s="1"/>
  <c r="O53" s="1"/>
  <c r="L51"/>
  <c r="N51" s="1"/>
  <c r="O51" s="1"/>
  <c r="L49"/>
  <c r="N49" s="1"/>
  <c r="O49" s="1"/>
  <c r="N65"/>
  <c r="O65" s="1"/>
  <c r="N57"/>
  <c r="O57" s="1"/>
  <c r="N47"/>
  <c r="O47" s="1"/>
  <c r="N46"/>
  <c r="O46" s="1"/>
  <c r="N69"/>
  <c r="O69" s="1"/>
  <c r="N66"/>
  <c r="O66" s="1"/>
  <c r="N62"/>
  <c r="O62" s="1"/>
  <c r="N58"/>
  <c r="O58" s="1"/>
  <c r="N54"/>
  <c r="O54" s="1"/>
  <c r="N50"/>
  <c r="O50" s="1"/>
  <c r="Z37" i="5"/>
  <c r="Z36"/>
  <c r="Z35"/>
  <c r="Z34"/>
  <c r="Z33"/>
  <c r="K104" i="15"/>
  <c r="K28" s="1"/>
  <c r="K103"/>
  <c r="S70" s="1"/>
  <c r="K102"/>
  <c r="K101"/>
  <c r="S68" s="1"/>
  <c r="K100"/>
  <c r="S67" s="1"/>
  <c r="K99"/>
  <c r="K23" s="1"/>
  <c r="K98"/>
  <c r="S65" s="1"/>
  <c r="K97"/>
  <c r="K21" s="1"/>
  <c r="K96"/>
  <c r="S63" s="1"/>
  <c r="K95"/>
  <c r="K19" s="1"/>
  <c r="K94"/>
  <c r="S61" s="1"/>
  <c r="K93"/>
  <c r="K17" s="1"/>
  <c r="K92"/>
  <c r="S59" s="1"/>
  <c r="K91"/>
  <c r="K15" s="1"/>
  <c r="K90"/>
  <c r="S57" s="1"/>
  <c r="K89"/>
  <c r="K13" s="1"/>
  <c r="K88"/>
  <c r="S55" s="1"/>
  <c r="K87"/>
  <c r="K11" s="1"/>
  <c r="K86"/>
  <c r="S53" s="1"/>
  <c r="K85"/>
  <c r="K9" s="1"/>
  <c r="K84"/>
  <c r="S51" s="1"/>
  <c r="K83"/>
  <c r="K7" s="1"/>
  <c r="K82"/>
  <c r="S49" s="1"/>
  <c r="K81"/>
  <c r="K5" s="1"/>
  <c r="K80"/>
  <c r="S47" s="1"/>
  <c r="K79"/>
  <c r="K3" s="1"/>
  <c r="F3"/>
  <c r="AA65" i="6"/>
  <c r="AA67"/>
  <c r="AA69"/>
  <c r="AA71"/>
  <c r="AA47"/>
  <c r="N4" i="8"/>
  <c r="N29"/>
  <c r="AA72" i="6" s="1"/>
  <c r="N28" i="8"/>
  <c r="N27"/>
  <c r="AA70" i="6" s="1"/>
  <c r="N26" i="8"/>
  <c r="N25"/>
  <c r="AA68" i="6" s="1"/>
  <c r="N24" i="8"/>
  <c r="N23"/>
  <c r="AA66" i="6" s="1"/>
  <c r="N22" i="8"/>
  <c r="N21"/>
  <c r="AA64" i="6" s="1"/>
  <c r="N20" i="8"/>
  <c r="AA63" i="6" s="1"/>
  <c r="N19" i="8"/>
  <c r="AA62" i="6" s="1"/>
  <c r="N18" i="8"/>
  <c r="AA61" i="6" s="1"/>
  <c r="N17" i="8"/>
  <c r="AA60" i="6" s="1"/>
  <c r="N16" i="8"/>
  <c r="AA59" i="6" s="1"/>
  <c r="N15" i="8"/>
  <c r="AA58" i="6" s="1"/>
  <c r="N14" i="8"/>
  <c r="AA57" i="6" s="1"/>
  <c r="N13" i="8"/>
  <c r="AA56" i="6" s="1"/>
  <c r="N12" i="8"/>
  <c r="AA55" i="6" s="1"/>
  <c r="N11" i="8"/>
  <c r="AA54" i="6" s="1"/>
  <c r="N10" i="8"/>
  <c r="AA53" i="6" s="1"/>
  <c r="N9" i="8"/>
  <c r="AA52" i="6" s="1"/>
  <c r="N8" i="8"/>
  <c r="AA51" i="6" s="1"/>
  <c r="N7" i="8"/>
  <c r="AA50" i="6" s="1"/>
  <c r="N6" i="8"/>
  <c r="AA49" i="6" s="1"/>
  <c r="N5" i="8"/>
  <c r="N84" i="6"/>
  <c r="N80"/>
  <c r="N78"/>
  <c r="Q48"/>
  <c r="N83" i="4"/>
  <c r="K73" i="1"/>
  <c r="K74"/>
  <c r="K75"/>
  <c r="K76"/>
  <c r="K77"/>
  <c r="K78"/>
  <c r="K79"/>
  <c r="K80"/>
  <c r="K81"/>
  <c r="K82"/>
  <c r="K83"/>
  <c r="K84"/>
  <c r="K85"/>
  <c r="K86"/>
  <c r="K87"/>
  <c r="K88"/>
  <c r="K89"/>
  <c r="K90"/>
  <c r="K91"/>
  <c r="K92"/>
  <c r="K93"/>
  <c r="K94"/>
  <c r="K95"/>
  <c r="K96"/>
  <c r="K97"/>
  <c r="K72"/>
  <c r="N86" i="2"/>
  <c r="N87"/>
  <c r="N88"/>
  <c r="N89"/>
  <c r="N90"/>
  <c r="N91"/>
  <c r="N92"/>
  <c r="N93"/>
  <c r="N94"/>
  <c r="N95"/>
  <c r="N96"/>
  <c r="N97"/>
  <c r="N98"/>
  <c r="N99"/>
  <c r="N100"/>
  <c r="N101"/>
  <c r="N102"/>
  <c r="N103"/>
  <c r="N104"/>
  <c r="N105"/>
  <c r="N106"/>
  <c r="N107"/>
  <c r="N108"/>
  <c r="N109"/>
  <c r="N110"/>
  <c r="N85"/>
  <c r="N92" i="5"/>
  <c r="N93"/>
  <c r="N94"/>
  <c r="N95"/>
  <c r="N96"/>
  <c r="N97"/>
  <c r="N98"/>
  <c r="N99"/>
  <c r="N100"/>
  <c r="N101"/>
  <c r="N102"/>
  <c r="N103"/>
  <c r="N104"/>
  <c r="N105"/>
  <c r="N106"/>
  <c r="N107"/>
  <c r="N108"/>
  <c r="N109"/>
  <c r="N110"/>
  <c r="N111"/>
  <c r="N112"/>
  <c r="N113"/>
  <c r="N114"/>
  <c r="N115"/>
  <c r="N116"/>
  <c r="N91"/>
  <c r="N90" i="6"/>
  <c r="N91"/>
  <c r="N92"/>
  <c r="N93"/>
  <c r="N94"/>
  <c r="N95"/>
  <c r="N96"/>
  <c r="N97"/>
  <c r="N98"/>
  <c r="N99"/>
  <c r="N100"/>
  <c r="N101"/>
  <c r="N102"/>
  <c r="N103"/>
  <c r="N104"/>
  <c r="N105"/>
  <c r="N106"/>
  <c r="N107"/>
  <c r="N108"/>
  <c r="N109"/>
  <c r="N110"/>
  <c r="N111"/>
  <c r="N112"/>
  <c r="N113"/>
  <c r="N114"/>
  <c r="N89"/>
  <c r="N90" i="4"/>
  <c r="N91"/>
  <c r="N92"/>
  <c r="N93"/>
  <c r="N94"/>
  <c r="N95"/>
  <c r="N96"/>
  <c r="N97"/>
  <c r="N98"/>
  <c r="N99"/>
  <c r="N100"/>
  <c r="N101"/>
  <c r="N102"/>
  <c r="N103"/>
  <c r="N104"/>
  <c r="N105"/>
  <c r="N106"/>
  <c r="N107"/>
  <c r="N108"/>
  <c r="N109"/>
  <c r="N110"/>
  <c r="N111"/>
  <c r="N112"/>
  <c r="N113"/>
  <c r="N114"/>
  <c r="N89"/>
  <c r="AD48"/>
  <c r="AD49"/>
  <c r="AD50"/>
  <c r="AD51"/>
  <c r="AD52"/>
  <c r="AD53"/>
  <c r="AD54"/>
  <c r="AD55"/>
  <c r="AD56"/>
  <c r="AD57"/>
  <c r="AD58"/>
  <c r="AD59"/>
  <c r="AD60"/>
  <c r="AD61"/>
  <c r="AD62"/>
  <c r="AD63"/>
  <c r="AD64"/>
  <c r="AD65"/>
  <c r="AD66"/>
  <c r="AD67"/>
  <c r="AD68"/>
  <c r="AD69"/>
  <c r="AD70"/>
  <c r="AD71"/>
  <c r="AD72"/>
  <c r="AD47"/>
  <c r="N85" i="6"/>
  <c r="Q71"/>
  <c r="Q69"/>
  <c r="S69" s="1"/>
  <c r="Q68"/>
  <c r="S68" s="1"/>
  <c r="Q66"/>
  <c r="S66" s="1"/>
  <c r="Q64"/>
  <c r="S64" s="1"/>
  <c r="Q62"/>
  <c r="S62" s="1"/>
  <c r="Q60"/>
  <c r="S60" s="1"/>
  <c r="Q58"/>
  <c r="S58" s="1"/>
  <c r="Q56"/>
  <c r="Q54"/>
  <c r="S54" s="1"/>
  <c r="Q52"/>
  <c r="S52" s="1"/>
  <c r="Q50"/>
  <c r="S50" s="1"/>
  <c r="S56"/>
  <c r="S71"/>
  <c r="F16" i="4"/>
  <c r="F13" i="6"/>
  <c r="H8" i="4"/>
  <c r="F8" s="1"/>
  <c r="N79"/>
  <c r="H8" i="6"/>
  <c r="F8" s="1"/>
  <c r="H8" i="5"/>
  <c r="F8" s="1"/>
  <c r="N81"/>
  <c r="Z72" i="4"/>
  <c r="Z72" i="6"/>
  <c r="F8" i="9"/>
  <c r="F9"/>
  <c r="F10"/>
  <c r="F11"/>
  <c r="F12"/>
  <c r="F13"/>
  <c r="F14"/>
  <c r="F15"/>
  <c r="F16"/>
  <c r="F17"/>
  <c r="F18"/>
  <c r="F19"/>
  <c r="F20"/>
  <c r="F21"/>
  <c r="F22"/>
  <c r="F23"/>
  <c r="F24"/>
  <c r="F25"/>
  <c r="F26"/>
  <c r="F27"/>
  <c r="F28"/>
  <c r="F29"/>
  <c r="F30"/>
  <c r="F31"/>
  <c r="F32"/>
  <c r="F7"/>
  <c r="O63" i="1"/>
  <c r="Z67" i="4"/>
  <c r="Z64"/>
  <c r="Z65"/>
  <c r="Z66"/>
  <c r="Z68"/>
  <c r="Z69"/>
  <c r="Z70"/>
  <c r="Z71"/>
  <c r="F15"/>
  <c r="AA57" s="1"/>
  <c r="N83" i="5"/>
  <c r="H12"/>
  <c r="F12"/>
  <c r="N80"/>
  <c r="F13"/>
  <c r="F11"/>
  <c r="F7"/>
  <c r="F6"/>
  <c r="N79"/>
  <c r="F4"/>
  <c r="N72"/>
  <c r="N78"/>
  <c r="S67" s="1"/>
  <c r="U67" s="1"/>
  <c r="H8" i="1"/>
  <c r="F8" s="1"/>
  <c r="N80" i="4"/>
  <c r="N80" i="2"/>
  <c r="N82" i="5"/>
  <c r="P72" s="1"/>
  <c r="Z64" i="6"/>
  <c r="Z65"/>
  <c r="Z66"/>
  <c r="Z67"/>
  <c r="Z68"/>
  <c r="Z69"/>
  <c r="Z70"/>
  <c r="Z71"/>
  <c r="F3" i="5"/>
  <c r="F5" i="2"/>
  <c r="R51"/>
  <c r="R63"/>
  <c r="F6"/>
  <c r="F7"/>
  <c r="O54"/>
  <c r="O68"/>
  <c r="F5" i="5"/>
  <c r="T72"/>
  <c r="T51"/>
  <c r="T52"/>
  <c r="T53"/>
  <c r="T54"/>
  <c r="T55"/>
  <c r="T56"/>
  <c r="T57"/>
  <c r="T58"/>
  <c r="T59"/>
  <c r="T60"/>
  <c r="T61"/>
  <c r="T62"/>
  <c r="T63"/>
  <c r="T64"/>
  <c r="T65"/>
  <c r="T66"/>
  <c r="T67"/>
  <c r="T68"/>
  <c r="T69"/>
  <c r="T70"/>
  <c r="T71"/>
  <c r="T48"/>
  <c r="T47"/>
  <c r="O48"/>
  <c r="Q48" s="1"/>
  <c r="O49"/>
  <c r="Q49" s="1"/>
  <c r="O50"/>
  <c r="Q50" s="1"/>
  <c r="O51"/>
  <c r="Q51" s="1"/>
  <c r="O52"/>
  <c r="Q52" s="1"/>
  <c r="O53"/>
  <c r="Q53" s="1"/>
  <c r="O54"/>
  <c r="Q54" s="1"/>
  <c r="O55"/>
  <c r="Q55" s="1"/>
  <c r="O56"/>
  <c r="Q56" s="1"/>
  <c r="O57"/>
  <c r="Q57" s="1"/>
  <c r="O58"/>
  <c r="Q58" s="1"/>
  <c r="O59"/>
  <c r="Q59" s="1"/>
  <c r="O60"/>
  <c r="Q60" s="1"/>
  <c r="O61"/>
  <c r="Q61" s="1"/>
  <c r="O62"/>
  <c r="Q62" s="1"/>
  <c r="O63"/>
  <c r="Q63" s="1"/>
  <c r="O64"/>
  <c r="Q64" s="1"/>
  <c r="O65"/>
  <c r="Q65" s="1"/>
  <c r="O66"/>
  <c r="Q66" s="1"/>
  <c r="O67"/>
  <c r="Q67" s="1"/>
  <c r="O68"/>
  <c r="Q68" s="1"/>
  <c r="O69"/>
  <c r="Q69" s="1"/>
  <c r="O70"/>
  <c r="Q70" s="1"/>
  <c r="O71"/>
  <c r="Q71" s="1"/>
  <c r="O47"/>
  <c r="Q47" s="1"/>
  <c r="N48"/>
  <c r="N50"/>
  <c r="N52"/>
  <c r="N54"/>
  <c r="N56"/>
  <c r="N58"/>
  <c r="N60"/>
  <c r="N62"/>
  <c r="N64"/>
  <c r="N66"/>
  <c r="N68"/>
  <c r="N69"/>
  <c r="N71"/>
  <c r="F3" i="2"/>
  <c r="F4"/>
  <c r="P48" i="5"/>
  <c r="P49"/>
  <c r="P50"/>
  <c r="P51"/>
  <c r="P52"/>
  <c r="P53"/>
  <c r="P54"/>
  <c r="P55"/>
  <c r="P56"/>
  <c r="P57"/>
  <c r="P58"/>
  <c r="P59"/>
  <c r="P60"/>
  <c r="P61"/>
  <c r="P62"/>
  <c r="P63"/>
  <c r="P64"/>
  <c r="P65"/>
  <c r="P66"/>
  <c r="P67"/>
  <c r="P68"/>
  <c r="P69"/>
  <c r="P70"/>
  <c r="P71"/>
  <c r="N84"/>
  <c r="N79" i="2"/>
  <c r="F5" i="6"/>
  <c r="V50"/>
  <c r="T50" s="1"/>
  <c r="F6"/>
  <c r="F7"/>
  <c r="F11"/>
  <c r="F3"/>
  <c r="F4"/>
  <c r="Z63" i="4"/>
  <c r="Z62"/>
  <c r="Z61"/>
  <c r="Z60"/>
  <c r="Z59"/>
  <c r="Z58"/>
  <c r="C13" i="8"/>
  <c r="F10" i="5"/>
  <c r="F9"/>
  <c r="F4" i="4"/>
  <c r="F5"/>
  <c r="T67"/>
  <c r="F6"/>
  <c r="F7"/>
  <c r="F9"/>
  <c r="F10"/>
  <c r="F11"/>
  <c r="F12"/>
  <c r="N78" s="1"/>
  <c r="F13"/>
  <c r="F3"/>
  <c r="N49"/>
  <c r="N48"/>
  <c r="F9" i="6"/>
  <c r="F10"/>
  <c r="F4" i="1"/>
  <c r="F5"/>
  <c r="F6"/>
  <c r="F7"/>
  <c r="F3"/>
  <c r="N76" i="4"/>
  <c r="N81"/>
  <c r="N81" i="6"/>
  <c r="N79"/>
  <c r="N82"/>
  <c r="N64"/>
  <c r="P64" s="1"/>
  <c r="N48"/>
  <c r="V70"/>
  <c r="V67"/>
  <c r="V63"/>
  <c r="V59"/>
  <c r="V55"/>
  <c r="V51"/>
  <c r="N68"/>
  <c r="P68" s="1"/>
  <c r="N60"/>
  <c r="P60"/>
  <c r="V48"/>
  <c r="V65"/>
  <c r="V61"/>
  <c r="V57"/>
  <c r="V53"/>
  <c r="V49"/>
  <c r="P48"/>
  <c r="K38" i="1"/>
  <c r="K39"/>
  <c r="K41"/>
  <c r="K43"/>
  <c r="K45"/>
  <c r="K47"/>
  <c r="K49"/>
  <c r="K51"/>
  <c r="K53"/>
  <c r="K55"/>
  <c r="K57"/>
  <c r="K59"/>
  <c r="K60"/>
  <c r="K62"/>
  <c r="P49" i="4"/>
  <c r="N82"/>
  <c r="O49" i="6"/>
  <c r="R49" s="1"/>
  <c r="O51"/>
  <c r="R51" s="1"/>
  <c r="O53"/>
  <c r="R53" s="1"/>
  <c r="O55"/>
  <c r="R55" s="1"/>
  <c r="O57"/>
  <c r="R57" s="1"/>
  <c r="O59"/>
  <c r="R59" s="1"/>
  <c r="O61"/>
  <c r="R61" s="1"/>
  <c r="O63"/>
  <c r="R63" s="1"/>
  <c r="O65"/>
  <c r="R65" s="1"/>
  <c r="O67"/>
  <c r="R67" s="1"/>
  <c r="O70"/>
  <c r="R70" s="1"/>
  <c r="O48"/>
  <c r="R48" s="1"/>
  <c r="U48" s="1"/>
  <c r="R48" i="2"/>
  <c r="R50"/>
  <c r="R52"/>
  <c r="R54"/>
  <c r="R56"/>
  <c r="R58"/>
  <c r="R60"/>
  <c r="R62"/>
  <c r="R64"/>
  <c r="R66"/>
  <c r="R68"/>
  <c r="R69"/>
  <c r="R71"/>
  <c r="R47"/>
  <c r="O50" i="4"/>
  <c r="Q50" s="1"/>
  <c r="O54"/>
  <c r="O58"/>
  <c r="Q58" s="1"/>
  <c r="T48"/>
  <c r="T50"/>
  <c r="T52"/>
  <c r="T54"/>
  <c r="T56"/>
  <c r="T58"/>
  <c r="T60"/>
  <c r="T62"/>
  <c r="T64"/>
  <c r="T66"/>
  <c r="T68"/>
  <c r="T69"/>
  <c r="T71"/>
  <c r="T49"/>
  <c r="T53"/>
  <c r="T57"/>
  <c r="T61"/>
  <c r="T65"/>
  <c r="T47"/>
  <c r="T51"/>
  <c r="T55"/>
  <c r="T59"/>
  <c r="O40" i="1"/>
  <c r="O42"/>
  <c r="O44"/>
  <c r="O46"/>
  <c r="O48"/>
  <c r="O50"/>
  <c r="O52"/>
  <c r="O54"/>
  <c r="O56"/>
  <c r="O58"/>
  <c r="O61"/>
  <c r="O38"/>
  <c r="O39"/>
  <c r="O41"/>
  <c r="O43"/>
  <c r="O45"/>
  <c r="O47"/>
  <c r="O49"/>
  <c r="O51"/>
  <c r="O53"/>
  <c r="O55"/>
  <c r="O57"/>
  <c r="O59"/>
  <c r="O60"/>
  <c r="O62"/>
  <c r="Z50" i="4"/>
  <c r="Z50" i="6"/>
  <c r="Z52" i="4"/>
  <c r="Z52" i="6"/>
  <c r="Z54" i="4"/>
  <c r="Z54" i="6"/>
  <c r="N49"/>
  <c r="N51"/>
  <c r="N53"/>
  <c r="N55"/>
  <c r="N57"/>
  <c r="N59"/>
  <c r="N61"/>
  <c r="N63"/>
  <c r="N65"/>
  <c r="N67"/>
  <c r="N70"/>
  <c r="N47"/>
  <c r="N48" i="2"/>
  <c r="N51"/>
  <c r="N52"/>
  <c r="P52" s="1"/>
  <c r="N55"/>
  <c r="N56"/>
  <c r="P56" s="1"/>
  <c r="N59"/>
  <c r="N60"/>
  <c r="P60" s="1"/>
  <c r="N63"/>
  <c r="N64"/>
  <c r="P64" s="1"/>
  <c r="N67"/>
  <c r="N68"/>
  <c r="P68" s="1"/>
  <c r="N70"/>
  <c r="N71"/>
  <c r="P71" s="1"/>
  <c r="O49"/>
  <c r="Q49" s="1"/>
  <c r="O51"/>
  <c r="Q51" s="1"/>
  <c r="O53"/>
  <c r="Q53" s="1"/>
  <c r="O55"/>
  <c r="Q55" s="1"/>
  <c r="O57"/>
  <c r="Q57" s="1"/>
  <c r="O59"/>
  <c r="Q59" s="1"/>
  <c r="O61"/>
  <c r="Q61" s="1"/>
  <c r="O63"/>
  <c r="Q63" s="1"/>
  <c r="O65"/>
  <c r="Q65" s="1"/>
  <c r="O67"/>
  <c r="Q67" s="1"/>
  <c r="O70"/>
  <c r="Q70" s="1"/>
  <c r="N47" i="5"/>
  <c r="N49"/>
  <c r="N51"/>
  <c r="N53"/>
  <c r="N55"/>
  <c r="N57"/>
  <c r="N59"/>
  <c r="N61"/>
  <c r="N63"/>
  <c r="N65"/>
  <c r="N67"/>
  <c r="N70"/>
  <c r="K61" i="1"/>
  <c r="L61" s="1"/>
  <c r="K58"/>
  <c r="K54"/>
  <c r="L54" s="1"/>
  <c r="K50"/>
  <c r="K46"/>
  <c r="L46" s="1"/>
  <c r="K42"/>
  <c r="R47" i="6"/>
  <c r="O69"/>
  <c r="R69" s="1"/>
  <c r="O66"/>
  <c r="R66" s="1"/>
  <c r="O62"/>
  <c r="R62" s="1"/>
  <c r="O58"/>
  <c r="R58" s="1"/>
  <c r="O54"/>
  <c r="R54" s="1"/>
  <c r="O50"/>
  <c r="R50" s="1"/>
  <c r="K56" i="1"/>
  <c r="L56" s="1"/>
  <c r="K52"/>
  <c r="L52" s="1"/>
  <c r="K48"/>
  <c r="L48" s="1"/>
  <c r="K44"/>
  <c r="K40"/>
  <c r="L40" s="1"/>
  <c r="R65" i="2"/>
  <c r="R61"/>
  <c r="R57"/>
  <c r="R53"/>
  <c r="R49"/>
  <c r="N69" i="6"/>
  <c r="P69" s="1"/>
  <c r="N66"/>
  <c r="P66" s="1"/>
  <c r="N62"/>
  <c r="P62" s="1"/>
  <c r="N58"/>
  <c r="P58" s="1"/>
  <c r="N54"/>
  <c r="P54" s="1"/>
  <c r="N50"/>
  <c r="P50" s="1"/>
  <c r="O71"/>
  <c r="R71" s="1"/>
  <c r="O68"/>
  <c r="R68" s="1"/>
  <c r="O64"/>
  <c r="R64" s="1"/>
  <c r="O60"/>
  <c r="R60" s="1"/>
  <c r="O56"/>
  <c r="R56" s="1"/>
  <c r="O52"/>
  <c r="R52" s="1"/>
  <c r="Z53"/>
  <c r="Z49"/>
  <c r="T70" i="4"/>
  <c r="O69"/>
  <c r="T63"/>
  <c r="O62"/>
  <c r="L39" i="1"/>
  <c r="N39" s="1"/>
  <c r="L41"/>
  <c r="L43"/>
  <c r="N43" s="1"/>
  <c r="L45"/>
  <c r="L47"/>
  <c r="N47" s="1"/>
  <c r="L49"/>
  <c r="L51"/>
  <c r="N51" s="1"/>
  <c r="L53"/>
  <c r="N53" s="1"/>
  <c r="L55"/>
  <c r="N55" s="1"/>
  <c r="L57"/>
  <c r="L59"/>
  <c r="N59" s="1"/>
  <c r="L60"/>
  <c r="L62"/>
  <c r="N62" s="1"/>
  <c r="L42"/>
  <c r="L44"/>
  <c r="L50"/>
  <c r="L58"/>
  <c r="L38"/>
  <c r="N38" s="1"/>
  <c r="O49" i="4"/>
  <c r="O51"/>
  <c r="Q51" s="1"/>
  <c r="O53"/>
  <c r="O55"/>
  <c r="Q55" s="1"/>
  <c r="O57"/>
  <c r="O59"/>
  <c r="Q59" s="1"/>
  <c r="O61"/>
  <c r="O63"/>
  <c r="Q63" s="1"/>
  <c r="O65"/>
  <c r="Q65" s="1"/>
  <c r="O67"/>
  <c r="Q67" s="1"/>
  <c r="O70"/>
  <c r="Q70" s="1"/>
  <c r="V47" i="6"/>
  <c r="V71"/>
  <c r="T71" s="1"/>
  <c r="V69"/>
  <c r="V68"/>
  <c r="T68" s="1"/>
  <c r="V66"/>
  <c r="T66" s="1"/>
  <c r="V64"/>
  <c r="T64" s="1"/>
  <c r="V62"/>
  <c r="V60"/>
  <c r="V58"/>
  <c r="V56"/>
  <c r="T56" s="1"/>
  <c r="V54"/>
  <c r="V52"/>
  <c r="T52" s="1"/>
  <c r="Z47"/>
  <c r="Z62"/>
  <c r="Z60"/>
  <c r="Z58"/>
  <c r="Z56"/>
  <c r="P70"/>
  <c r="P67"/>
  <c r="P65"/>
  <c r="P63"/>
  <c r="P61"/>
  <c r="P59"/>
  <c r="P57"/>
  <c r="P55"/>
  <c r="P53"/>
  <c r="P51"/>
  <c r="N71" i="4"/>
  <c r="P71" s="1"/>
  <c r="N69"/>
  <c r="P69" s="1"/>
  <c r="N68"/>
  <c r="P68" s="1"/>
  <c r="N66"/>
  <c r="P66" s="1"/>
  <c r="N64"/>
  <c r="P64" s="1"/>
  <c r="N62"/>
  <c r="N60"/>
  <c r="P60" s="1"/>
  <c r="N58"/>
  <c r="P58" s="1"/>
  <c r="V58" s="1"/>
  <c r="N56"/>
  <c r="P56" s="1"/>
  <c r="N54"/>
  <c r="N52"/>
  <c r="N50"/>
  <c r="O71"/>
  <c r="Q71" s="1"/>
  <c r="O68"/>
  <c r="Q68" s="1"/>
  <c r="O64"/>
  <c r="Q64" s="1"/>
  <c r="O60"/>
  <c r="Q60" s="1"/>
  <c r="O56"/>
  <c r="Q56" s="1"/>
  <c r="O52"/>
  <c r="Q52" s="1"/>
  <c r="O48"/>
  <c r="Q48" s="1"/>
  <c r="Q61"/>
  <c r="Q57"/>
  <c r="Q53"/>
  <c r="Q49"/>
  <c r="Q62"/>
  <c r="Q54"/>
  <c r="Z47"/>
  <c r="Z48"/>
  <c r="Z55"/>
  <c r="Z56"/>
  <c r="Z51"/>
  <c r="Z49"/>
  <c r="Z53"/>
  <c r="Z57"/>
  <c r="Z48" i="6"/>
  <c r="Z63"/>
  <c r="Z59"/>
  <c r="Z55"/>
  <c r="Z61"/>
  <c r="Z57"/>
  <c r="Z51"/>
  <c r="P49"/>
  <c r="P47"/>
  <c r="N45" i="1"/>
  <c r="U68" i="6"/>
  <c r="O72" i="4"/>
  <c r="Q72" s="1"/>
  <c r="N72"/>
  <c r="P72" s="1"/>
  <c r="T72"/>
  <c r="N77"/>
  <c r="O66"/>
  <c r="Q66" s="1"/>
  <c r="O62" i="2"/>
  <c r="N72"/>
  <c r="O72"/>
  <c r="Q72" s="1"/>
  <c r="R72"/>
  <c r="Q68"/>
  <c r="S68" s="1"/>
  <c r="P72"/>
  <c r="S72" i="5"/>
  <c r="T50"/>
  <c r="T49"/>
  <c r="O72"/>
  <c r="Q72" s="1"/>
  <c r="N50" i="1"/>
  <c r="N61"/>
  <c r="K63"/>
  <c r="L63" s="1"/>
  <c r="N63" s="1"/>
  <c r="N52" i="6"/>
  <c r="P52" s="1"/>
  <c r="N72"/>
  <c r="O72"/>
  <c r="R72" s="1"/>
  <c r="P72"/>
  <c r="V72"/>
  <c r="N56" i="1"/>
  <c r="V49" i="4"/>
  <c r="N42" i="1"/>
  <c r="N57"/>
  <c r="N49"/>
  <c r="P47" i="5"/>
  <c r="S70"/>
  <c r="U70" s="1"/>
  <c r="S65"/>
  <c r="U65" s="1"/>
  <c r="S61"/>
  <c r="U61" s="1"/>
  <c r="S57"/>
  <c r="U57" s="1"/>
  <c r="S53"/>
  <c r="U53" s="1"/>
  <c r="S49"/>
  <c r="U49" s="1"/>
  <c r="S71"/>
  <c r="S68"/>
  <c r="U68" s="1"/>
  <c r="S64"/>
  <c r="U64" s="1"/>
  <c r="S60"/>
  <c r="U60" s="1"/>
  <c r="S56"/>
  <c r="U56" s="1"/>
  <c r="S52"/>
  <c r="U52" s="1"/>
  <c r="S48"/>
  <c r="N70" i="4"/>
  <c r="P70" s="1"/>
  <c r="N67"/>
  <c r="P67" s="1"/>
  <c r="N63"/>
  <c r="P63" s="1"/>
  <c r="V63" s="1"/>
  <c r="N59"/>
  <c r="P59" s="1"/>
  <c r="V59" s="1"/>
  <c r="N55"/>
  <c r="P55" s="1"/>
  <c r="N51"/>
  <c r="P51" s="1"/>
  <c r="V51" s="1"/>
  <c r="O47"/>
  <c r="N41" i="1"/>
  <c r="N56" i="6"/>
  <c r="P56" s="1"/>
  <c r="U56" s="1"/>
  <c r="N71"/>
  <c r="P71" s="1"/>
  <c r="U71" s="1"/>
  <c r="O48" i="2"/>
  <c r="Q48" s="1"/>
  <c r="R70"/>
  <c r="R55"/>
  <c r="N47" i="4"/>
  <c r="P47" s="1"/>
  <c r="N65"/>
  <c r="P65" s="1"/>
  <c r="N61"/>
  <c r="P61" s="1"/>
  <c r="V61" s="1"/>
  <c r="N57"/>
  <c r="P57" s="1"/>
  <c r="V57" s="1"/>
  <c r="N53"/>
  <c r="P53" s="1"/>
  <c r="V53" s="1"/>
  <c r="U71" i="5"/>
  <c r="Q69" i="4"/>
  <c r="N47" i="2"/>
  <c r="P47" s="1"/>
  <c r="O64"/>
  <c r="Q64" s="1"/>
  <c r="O56"/>
  <c r="Q56" s="1"/>
  <c r="O50"/>
  <c r="Q50" s="1"/>
  <c r="P70"/>
  <c r="N69"/>
  <c r="P69" s="1"/>
  <c r="P67"/>
  <c r="N66"/>
  <c r="P66" s="1"/>
  <c r="N65"/>
  <c r="P65" s="1"/>
  <c r="P63"/>
  <c r="S63" s="1"/>
  <c r="N62"/>
  <c r="P62" s="1"/>
  <c r="N61"/>
  <c r="P61" s="1"/>
  <c r="S61" s="1"/>
  <c r="M17" s="1"/>
  <c r="O99" s="1"/>
  <c r="P59"/>
  <c r="N58"/>
  <c r="P58" s="1"/>
  <c r="N57"/>
  <c r="P57" s="1"/>
  <c r="P55"/>
  <c r="N54"/>
  <c r="P54" s="1"/>
  <c r="N53"/>
  <c r="P53" s="1"/>
  <c r="S53" s="1"/>
  <c r="M9" s="1"/>
  <c r="O91" s="1"/>
  <c r="P51"/>
  <c r="N50"/>
  <c r="P50" s="1"/>
  <c r="S50" s="1"/>
  <c r="M6" s="1"/>
  <c r="O88" s="1"/>
  <c r="Q88" s="1"/>
  <c r="N49"/>
  <c r="P49" s="1"/>
  <c r="P48"/>
  <c r="O47"/>
  <c r="Q47" s="1"/>
  <c r="O71"/>
  <c r="Q71" s="1"/>
  <c r="O69"/>
  <c r="Q69" s="1"/>
  <c r="O66"/>
  <c r="Q66" s="1"/>
  <c r="Q62"/>
  <c r="O60"/>
  <c r="Q60" s="1"/>
  <c r="S60" s="1"/>
  <c r="M16" s="1"/>
  <c r="O98" s="1"/>
  <c r="Q98" s="1"/>
  <c r="O58"/>
  <c r="Q58" s="1"/>
  <c r="Q54"/>
  <c r="O52"/>
  <c r="Q52" s="1"/>
  <c r="S52" s="1"/>
  <c r="R67"/>
  <c r="R59"/>
  <c r="U48" i="5"/>
  <c r="U72"/>
  <c r="Q47" i="4"/>
  <c r="M8" i="2"/>
  <c r="O90" s="1"/>
  <c r="Q90" s="1"/>
  <c r="V72" i="5" l="1"/>
  <c r="S57" i="4"/>
  <c r="S71"/>
  <c r="S60"/>
  <c r="S68"/>
  <c r="S66"/>
  <c r="S65"/>
  <c r="S53"/>
  <c r="S69"/>
  <c r="S50"/>
  <c r="S63"/>
  <c r="S51"/>
  <c r="S62"/>
  <c r="S72"/>
  <c r="S47"/>
  <c r="S59"/>
  <c r="S64"/>
  <c r="S52"/>
  <c r="S48"/>
  <c r="S56"/>
  <c r="S70"/>
  <c r="S61"/>
  <c r="S49"/>
  <c r="S58"/>
  <c r="S67"/>
  <c r="S55"/>
  <c r="S54"/>
  <c r="AA71"/>
  <c r="AA67"/>
  <c r="AA63"/>
  <c r="AA59"/>
  <c r="R72"/>
  <c r="R70"/>
  <c r="U70" s="1"/>
  <c r="R68"/>
  <c r="U68" s="1"/>
  <c r="R66"/>
  <c r="U66" s="1"/>
  <c r="R64"/>
  <c r="U64" s="1"/>
  <c r="R62"/>
  <c r="U62" s="1"/>
  <c r="R60"/>
  <c r="U60" s="1"/>
  <c r="R58"/>
  <c r="U58" s="1"/>
  <c r="R56"/>
  <c r="U56" s="1"/>
  <c r="R54"/>
  <c r="R52"/>
  <c r="U52" s="1"/>
  <c r="R50"/>
  <c r="U50" s="1"/>
  <c r="R48"/>
  <c r="U48" s="1"/>
  <c r="R51"/>
  <c r="R47"/>
  <c r="R71"/>
  <c r="U71" s="1"/>
  <c r="R69"/>
  <c r="U69" s="1"/>
  <c r="R67"/>
  <c r="U67" s="1"/>
  <c r="R65"/>
  <c r="U65" s="1"/>
  <c r="R63"/>
  <c r="R61"/>
  <c r="U61" s="1"/>
  <c r="R59"/>
  <c r="U59" s="1"/>
  <c r="R57"/>
  <c r="U57" s="1"/>
  <c r="R55"/>
  <c r="U55" s="1"/>
  <c r="R53"/>
  <c r="U53" s="1"/>
  <c r="R49"/>
  <c r="U49" s="1"/>
  <c r="AA48"/>
  <c r="AA47"/>
  <c r="AA69"/>
  <c r="AA65"/>
  <c r="AA61"/>
  <c r="W104" i="24"/>
  <c r="R103"/>
  <c r="U103" s="1"/>
  <c r="O103"/>
  <c r="W108"/>
  <c r="W84"/>
  <c r="V103"/>
  <c r="K22"/>
  <c r="P103" s="1"/>
  <c r="T103" s="1"/>
  <c r="W89"/>
  <c r="S89"/>
  <c r="W101"/>
  <c r="S101"/>
  <c r="W99"/>
  <c r="S99"/>
  <c r="W90"/>
  <c r="S90"/>
  <c r="W109"/>
  <c r="S109"/>
  <c r="W95"/>
  <c r="S95"/>
  <c r="W86"/>
  <c r="S86"/>
  <c r="W97"/>
  <c r="S97"/>
  <c r="W88"/>
  <c r="S88"/>
  <c r="W93"/>
  <c r="S93"/>
  <c r="W92"/>
  <c r="S92"/>
  <c r="W107"/>
  <c r="S107"/>
  <c r="W105"/>
  <c r="S105"/>
  <c r="S50" i="5"/>
  <c r="U50" s="1"/>
  <c r="S54"/>
  <c r="U54" s="1"/>
  <c r="S58"/>
  <c r="U58" s="1"/>
  <c r="S62"/>
  <c r="U62" s="1"/>
  <c r="S66"/>
  <c r="U66" s="1"/>
  <c r="S69"/>
  <c r="U69" s="1"/>
  <c r="S47"/>
  <c r="U47" s="1"/>
  <c r="S51"/>
  <c r="U51" s="1"/>
  <c r="S55"/>
  <c r="U55" s="1"/>
  <c r="S59"/>
  <c r="U59" s="1"/>
  <c r="S63"/>
  <c r="U63" s="1"/>
  <c r="U50" i="6"/>
  <c r="U62"/>
  <c r="S48"/>
  <c r="T48" s="1"/>
  <c r="W48" s="1"/>
  <c r="Q49"/>
  <c r="S49" s="1"/>
  <c r="T49" s="1"/>
  <c r="P48" i="4"/>
  <c r="P42" i="1"/>
  <c r="M7" s="1"/>
  <c r="L76" s="1"/>
  <c r="N76" s="1"/>
  <c r="P50"/>
  <c r="M15" s="1"/>
  <c r="L84" s="1"/>
  <c r="N84" s="1"/>
  <c r="P41"/>
  <c r="M6" s="1"/>
  <c r="L75" s="1"/>
  <c r="N75" s="1"/>
  <c r="P61"/>
  <c r="M26" s="1"/>
  <c r="L95" s="1"/>
  <c r="N95" s="1"/>
  <c r="P49"/>
  <c r="P45"/>
  <c r="P62"/>
  <c r="K27" s="1"/>
  <c r="P47"/>
  <c r="K12" s="1"/>
  <c r="P55"/>
  <c r="K20" s="1"/>
  <c r="M89" s="1"/>
  <c r="O89" s="1"/>
  <c r="P39"/>
  <c r="M4" s="1"/>
  <c r="L73" s="1"/>
  <c r="N73" s="1"/>
  <c r="P56"/>
  <c r="K21" s="1"/>
  <c r="M90" s="1"/>
  <c r="O90" s="1"/>
  <c r="P57"/>
  <c r="K22" s="1"/>
  <c r="M21"/>
  <c r="L90" s="1"/>
  <c r="N90" s="1"/>
  <c r="P53"/>
  <c r="K18" s="1"/>
  <c r="M87" s="1"/>
  <c r="O87" s="1"/>
  <c r="K26"/>
  <c r="M95" s="1"/>
  <c r="O95" s="1"/>
  <c r="U54" i="4"/>
  <c r="U51"/>
  <c r="U63"/>
  <c r="N58" i="1"/>
  <c r="P58" s="1"/>
  <c r="M23" s="1"/>
  <c r="L92" s="1"/>
  <c r="N92" s="1"/>
  <c r="AA49" i="4"/>
  <c r="AA72"/>
  <c r="AA70"/>
  <c r="AA68"/>
  <c r="AA66"/>
  <c r="AA64"/>
  <c r="AA62"/>
  <c r="AA60"/>
  <c r="AA58"/>
  <c r="AA56"/>
  <c r="AA54"/>
  <c r="AA52"/>
  <c r="AA50"/>
  <c r="AA48" i="6"/>
  <c r="N48" i="1"/>
  <c r="P48" s="1"/>
  <c r="M13" s="1"/>
  <c r="L82" s="1"/>
  <c r="N82" s="1"/>
  <c r="AA55" i="4"/>
  <c r="AA53"/>
  <c r="AA51"/>
  <c r="V69"/>
  <c r="V71"/>
  <c r="V66"/>
  <c r="M14" i="1"/>
  <c r="L83" s="1"/>
  <c r="N83" s="1"/>
  <c r="K14"/>
  <c r="M83" s="1"/>
  <c r="O83" s="1"/>
  <c r="K15"/>
  <c r="M84" s="1"/>
  <c r="O84" s="1"/>
  <c r="K16" i="15"/>
  <c r="K20"/>
  <c r="K27"/>
  <c r="K12"/>
  <c r="K18"/>
  <c r="K25"/>
  <c r="K8"/>
  <c r="K10"/>
  <c r="K6"/>
  <c r="K14"/>
  <c r="K22"/>
  <c r="K4"/>
  <c r="Q91" i="2"/>
  <c r="Q99"/>
  <c r="V55" i="4"/>
  <c r="S48" i="15"/>
  <c r="S50"/>
  <c r="S52"/>
  <c r="S54"/>
  <c r="S56"/>
  <c r="S58"/>
  <c r="S60"/>
  <c r="S62"/>
  <c r="S64"/>
  <c r="S66"/>
  <c r="S71"/>
  <c r="K26"/>
  <c r="S46"/>
  <c r="M81" i="1"/>
  <c r="O81" s="1"/>
  <c r="M96"/>
  <c r="O96" s="1"/>
  <c r="M22"/>
  <c r="L91" s="1"/>
  <c r="N91" s="1"/>
  <c r="M10"/>
  <c r="L79" s="1"/>
  <c r="N79" s="1"/>
  <c r="K10"/>
  <c r="S69" i="15"/>
  <c r="U69" i="6"/>
  <c r="S72" i="2"/>
  <c r="N44" i="1"/>
  <c r="P44" s="1"/>
  <c r="M9" s="1"/>
  <c r="L78" s="1"/>
  <c r="N78" s="1"/>
  <c r="N60"/>
  <c r="T69" i="6"/>
  <c r="P60" i="1"/>
  <c r="M25" s="1"/>
  <c r="L94" s="1"/>
  <c r="N94" s="1"/>
  <c r="P51"/>
  <c r="K16" s="1"/>
  <c r="S64" i="2"/>
  <c r="M20" s="1"/>
  <c r="O102" s="1"/>
  <c r="Q102" s="1"/>
  <c r="S67"/>
  <c r="S59"/>
  <c r="M15" s="1"/>
  <c r="O97" s="1"/>
  <c r="Q97" s="1"/>
  <c r="S55"/>
  <c r="V70" i="5"/>
  <c r="W70" s="1"/>
  <c r="V67"/>
  <c r="V65"/>
  <c r="W65" s="1"/>
  <c r="M21" s="1"/>
  <c r="O109" s="1"/>
  <c r="Q109" s="1"/>
  <c r="V63"/>
  <c r="V61"/>
  <c r="V59"/>
  <c r="W59" s="1"/>
  <c r="V57"/>
  <c r="V55"/>
  <c r="V53"/>
  <c r="W53" s="1"/>
  <c r="V51"/>
  <c r="W51" s="1"/>
  <c r="V49"/>
  <c r="W49" s="1"/>
  <c r="K6" i="2"/>
  <c r="P88" s="1"/>
  <c r="R88" s="1"/>
  <c r="S58"/>
  <c r="M14" s="1"/>
  <c r="O96" s="1"/>
  <c r="Q96" s="1"/>
  <c r="S54"/>
  <c r="M10" s="1"/>
  <c r="O92" s="1"/>
  <c r="Q92" s="1"/>
  <c r="S62"/>
  <c r="M18" s="1"/>
  <c r="O100" s="1"/>
  <c r="Q100" s="1"/>
  <c r="V68" i="4"/>
  <c r="N46" i="1"/>
  <c r="P46" s="1"/>
  <c r="M11" s="1"/>
  <c r="L80" s="1"/>
  <c r="N80" s="1"/>
  <c r="U64" i="6"/>
  <c r="V71" i="5"/>
  <c r="W71" s="1"/>
  <c r="V69"/>
  <c r="W69" s="1"/>
  <c r="M25" s="1"/>
  <c r="O113" s="1"/>
  <c r="Q113" s="1"/>
  <c r="V68"/>
  <c r="W68" s="1"/>
  <c r="M24" s="1"/>
  <c r="O112" s="1"/>
  <c r="Q112" s="1"/>
  <c r="V66"/>
  <c r="V64"/>
  <c r="W64" s="1"/>
  <c r="M20" s="1"/>
  <c r="O108" s="1"/>
  <c r="Q108" s="1"/>
  <c r="V62"/>
  <c r="W62" s="1"/>
  <c r="V60"/>
  <c r="W60" s="1"/>
  <c r="V58"/>
  <c r="V56"/>
  <c r="W56" s="1"/>
  <c r="M12" s="1"/>
  <c r="O100" s="1"/>
  <c r="Q100" s="1"/>
  <c r="V54"/>
  <c r="V52"/>
  <c r="W52" s="1"/>
  <c r="M8" s="1"/>
  <c r="O96" s="1"/>
  <c r="Q96" s="1"/>
  <c r="V50"/>
  <c r="V48"/>
  <c r="W48" s="1"/>
  <c r="M19" i="2"/>
  <c r="O101" s="1"/>
  <c r="Q101" s="1"/>
  <c r="P59" i="1"/>
  <c r="M24" s="1"/>
  <c r="L93" s="1"/>
  <c r="N93" s="1"/>
  <c r="V48" i="4"/>
  <c r="P38" i="1"/>
  <c r="M3" s="1"/>
  <c r="L72" s="1"/>
  <c r="N72" s="1"/>
  <c r="P43"/>
  <c r="M8" s="1"/>
  <c r="L77" s="1"/>
  <c r="N77" s="1"/>
  <c r="M23" i="2"/>
  <c r="O105" s="1"/>
  <c r="Q105" s="1"/>
  <c r="M11"/>
  <c r="O93" s="1"/>
  <c r="Q93" s="1"/>
  <c r="S71"/>
  <c r="M27" s="1"/>
  <c r="O109" s="1"/>
  <c r="Q109" s="1"/>
  <c r="S65"/>
  <c r="M21" s="1"/>
  <c r="O103" s="1"/>
  <c r="Q103" s="1"/>
  <c r="S69"/>
  <c r="V65" i="4"/>
  <c r="W65" s="1"/>
  <c r="W57" i="5"/>
  <c r="M13" s="1"/>
  <c r="O101" s="1"/>
  <c r="Q101" s="1"/>
  <c r="V67" i="4"/>
  <c r="U49" i="6"/>
  <c r="U53"/>
  <c r="U57"/>
  <c r="U61"/>
  <c r="U65"/>
  <c r="U58"/>
  <c r="U66"/>
  <c r="T58"/>
  <c r="W58" s="1"/>
  <c r="T62"/>
  <c r="S49" i="2"/>
  <c r="S51"/>
  <c r="S57"/>
  <c r="S66"/>
  <c r="M22" s="1"/>
  <c r="O104" s="1"/>
  <c r="Q104" s="1"/>
  <c r="S70"/>
  <c r="S56"/>
  <c r="M12" s="1"/>
  <c r="K12" s="1"/>
  <c r="P94" s="1"/>
  <c r="R94" s="1"/>
  <c r="K20"/>
  <c r="P102" s="1"/>
  <c r="R102" s="1"/>
  <c r="W54" i="5"/>
  <c r="S48" i="2"/>
  <c r="M4" s="1"/>
  <c r="O86" s="1"/>
  <c r="Q86" s="1"/>
  <c r="W61" i="5"/>
  <c r="M17" s="1"/>
  <c r="O105" s="1"/>
  <c r="Q105" s="1"/>
  <c r="W67"/>
  <c r="M23" s="1"/>
  <c r="O111" s="1"/>
  <c r="Q111" s="1"/>
  <c r="V70" i="4"/>
  <c r="V47" i="5"/>
  <c r="W47" s="1"/>
  <c r="W72"/>
  <c r="M28" s="1"/>
  <c r="O116" s="1"/>
  <c r="Q116" s="1"/>
  <c r="V60" i="4"/>
  <c r="V64"/>
  <c r="U51" i="6"/>
  <c r="U55"/>
  <c r="U59"/>
  <c r="U63"/>
  <c r="U67"/>
  <c r="U70"/>
  <c r="U54"/>
  <c r="N40" i="1"/>
  <c r="N52"/>
  <c r="N54"/>
  <c r="P52" i="4"/>
  <c r="T60" i="6"/>
  <c r="W56"/>
  <c r="U72"/>
  <c r="T54"/>
  <c r="Q47"/>
  <c r="Q70"/>
  <c r="S70" s="1"/>
  <c r="Q67"/>
  <c r="S67" s="1"/>
  <c r="Q63"/>
  <c r="S63" s="1"/>
  <c r="Q59"/>
  <c r="S59" s="1"/>
  <c r="Q55"/>
  <c r="S55" s="1"/>
  <c r="Q51"/>
  <c r="S51" s="1"/>
  <c r="W71"/>
  <c r="Q72"/>
  <c r="Q65"/>
  <c r="Q61"/>
  <c r="Q57"/>
  <c r="Q53"/>
  <c r="S53" s="1"/>
  <c r="W59" i="4"/>
  <c r="W49"/>
  <c r="W55"/>
  <c r="W66"/>
  <c r="W69"/>
  <c r="W51"/>
  <c r="W63"/>
  <c r="W70"/>
  <c r="P50"/>
  <c r="V50" s="1"/>
  <c r="W50" s="1"/>
  <c r="P54"/>
  <c r="V54" s="1"/>
  <c r="W54" s="1"/>
  <c r="P62"/>
  <c r="V62" s="1"/>
  <c r="W62" s="1"/>
  <c r="W71"/>
  <c r="W68"/>
  <c r="W53"/>
  <c r="W61"/>
  <c r="W67"/>
  <c r="W48"/>
  <c r="W58"/>
  <c r="W64"/>
  <c r="W57"/>
  <c r="V47"/>
  <c r="U52" i="6"/>
  <c r="W52" s="1"/>
  <c r="M28" i="15"/>
  <c r="L104" s="1"/>
  <c r="N104" s="1"/>
  <c r="M104"/>
  <c r="O104" s="1"/>
  <c r="U47" i="6"/>
  <c r="O94" i="2"/>
  <c r="Q94" s="1"/>
  <c r="P63" i="1"/>
  <c r="M28" s="1"/>
  <c r="L97" s="1"/>
  <c r="N97" s="1"/>
  <c r="M24" i="2"/>
  <c r="O106" s="1"/>
  <c r="Q106" s="1"/>
  <c r="M28"/>
  <c r="O110" s="1"/>
  <c r="Q110" s="1"/>
  <c r="K21"/>
  <c r="P103" s="1"/>
  <c r="R103" s="1"/>
  <c r="K17"/>
  <c r="P99" s="1"/>
  <c r="R99" s="1"/>
  <c r="K9"/>
  <c r="P91" s="1"/>
  <c r="R91" s="1"/>
  <c r="K27"/>
  <c r="P109" s="1"/>
  <c r="R109" s="1"/>
  <c r="K16"/>
  <c r="P98" s="1"/>
  <c r="R98" s="1"/>
  <c r="K8"/>
  <c r="P90" s="1"/>
  <c r="R90" s="1"/>
  <c r="W60" i="4"/>
  <c r="S47" i="2"/>
  <c r="V72" i="4"/>
  <c r="W68" i="6"/>
  <c r="M27" i="1"/>
  <c r="L96" s="1"/>
  <c r="N96" s="1"/>
  <c r="M12"/>
  <c r="L81" s="1"/>
  <c r="N81" s="1"/>
  <c r="U60" i="6"/>
  <c r="W50"/>
  <c r="M18" i="1"/>
  <c r="L87" s="1"/>
  <c r="N87" s="1"/>
  <c r="V52" i="4"/>
  <c r="W52" s="1"/>
  <c r="V56"/>
  <c r="W56" s="1"/>
  <c r="W62" i="6"/>
  <c r="W64"/>
  <c r="W66"/>
  <c r="W69"/>
  <c r="M20" i="1"/>
  <c r="L89" s="1"/>
  <c r="N89" s="1"/>
  <c r="W63" i="5" l="1"/>
  <c r="U72" i="4"/>
  <c r="X53"/>
  <c r="W72"/>
  <c r="U47"/>
  <c r="W47" s="1"/>
  <c r="W103" i="24"/>
  <c r="S103"/>
  <c r="W50" i="5"/>
  <c r="M6" s="1"/>
  <c r="O94" s="1"/>
  <c r="Q94" s="1"/>
  <c r="W58"/>
  <c r="M14" s="1"/>
  <c r="O102" s="1"/>
  <c r="Q102" s="1"/>
  <c r="W66"/>
  <c r="M22" s="1"/>
  <c r="O110" s="1"/>
  <c r="Q110" s="1"/>
  <c r="W55"/>
  <c r="K23"/>
  <c r="P111" s="1"/>
  <c r="R111" s="1"/>
  <c r="K7" i="1"/>
  <c r="M76" s="1"/>
  <c r="O76" s="1"/>
  <c r="K6"/>
  <c r="M75" s="1"/>
  <c r="O75" s="1"/>
  <c r="K4"/>
  <c r="M73" s="1"/>
  <c r="O73" s="1"/>
  <c r="K23"/>
  <c r="M92" s="1"/>
  <c r="O92" s="1"/>
  <c r="K13"/>
  <c r="W60" i="6"/>
  <c r="Y60" s="1"/>
  <c r="W54"/>
  <c r="Y54" s="1"/>
  <c r="K14" i="5"/>
  <c r="P102" s="1"/>
  <c r="R102" s="1"/>
  <c r="W49" i="6"/>
  <c r="X49" s="1"/>
  <c r="M85" i="1"/>
  <c r="O85" s="1"/>
  <c r="M82"/>
  <c r="O82" s="1"/>
  <c r="M79"/>
  <c r="O79" s="1"/>
  <c r="M91"/>
  <c r="O91" s="1"/>
  <c r="K9"/>
  <c r="K28"/>
  <c r="K24"/>
  <c r="M16"/>
  <c r="L85" s="1"/>
  <c r="N85" s="1"/>
  <c r="M11" i="5"/>
  <c r="O99" s="1"/>
  <c r="Q99" s="1"/>
  <c r="M7"/>
  <c r="O95" s="1"/>
  <c r="Q95" s="1"/>
  <c r="M4"/>
  <c r="O92" s="1"/>
  <c r="Q92" s="1"/>
  <c r="M16"/>
  <c r="O104" s="1"/>
  <c r="Q104" s="1"/>
  <c r="T59" i="6"/>
  <c r="W59" s="1"/>
  <c r="X59" s="1"/>
  <c r="K23" i="2"/>
  <c r="P105" s="1"/>
  <c r="R105" s="1"/>
  <c r="K8" i="1"/>
  <c r="K3"/>
  <c r="K10" i="2"/>
  <c r="P92" s="1"/>
  <c r="R92" s="1"/>
  <c r="M27" i="5"/>
  <c r="O115" s="1"/>
  <c r="Q115" s="1"/>
  <c r="K25" i="1"/>
  <c r="M5" i="5"/>
  <c r="O93" s="1"/>
  <c r="Q93" s="1"/>
  <c r="M18"/>
  <c r="O106" s="1"/>
  <c r="Q106" s="1"/>
  <c r="K21"/>
  <c r="P109" s="1"/>
  <c r="R109" s="1"/>
  <c r="K13"/>
  <c r="P101" s="1"/>
  <c r="R101" s="1"/>
  <c r="K12"/>
  <c r="P100" s="1"/>
  <c r="R100" s="1"/>
  <c r="K8"/>
  <c r="P96" s="1"/>
  <c r="R96" s="1"/>
  <c r="K19" i="2"/>
  <c r="P101" s="1"/>
  <c r="R101" s="1"/>
  <c r="K14"/>
  <c r="P96" s="1"/>
  <c r="R96" s="1"/>
  <c r="X58" i="6"/>
  <c r="Y58"/>
  <c r="P40" i="1"/>
  <c r="M5" s="1"/>
  <c r="L74" s="1"/>
  <c r="N74" s="1"/>
  <c r="M26" i="5"/>
  <c r="O114" s="1"/>
  <c r="Q114" s="1"/>
  <c r="M19"/>
  <c r="O107" s="1"/>
  <c r="Q107" s="1"/>
  <c r="M15"/>
  <c r="O103" s="1"/>
  <c r="Q103" s="1"/>
  <c r="M9"/>
  <c r="O97" s="1"/>
  <c r="Q97" s="1"/>
  <c r="M10"/>
  <c r="O98" s="1"/>
  <c r="Q98" s="1"/>
  <c r="M26" i="2"/>
  <c r="O108" s="1"/>
  <c r="Q108" s="1"/>
  <c r="M7"/>
  <c r="O89" s="1"/>
  <c r="Q89" s="1"/>
  <c r="M25"/>
  <c r="O107" s="1"/>
  <c r="Q107" s="1"/>
  <c r="K17" i="5"/>
  <c r="P105" s="1"/>
  <c r="R105" s="1"/>
  <c r="K24"/>
  <c r="P112" s="1"/>
  <c r="R112" s="1"/>
  <c r="K22"/>
  <c r="P110" s="1"/>
  <c r="R110" s="1"/>
  <c r="K25"/>
  <c r="P113" s="1"/>
  <c r="R113" s="1"/>
  <c r="K4" i="2"/>
  <c r="P86" s="1"/>
  <c r="R86" s="1"/>
  <c r="T67" i="6"/>
  <c r="W67" s="1"/>
  <c r="Y67" s="1"/>
  <c r="T51"/>
  <c r="W51" s="1"/>
  <c r="X51" s="1"/>
  <c r="K11" i="2"/>
  <c r="P93" s="1"/>
  <c r="R93" s="1"/>
  <c r="K15"/>
  <c r="P97" s="1"/>
  <c r="R97" s="1"/>
  <c r="K18"/>
  <c r="P100" s="1"/>
  <c r="R100" s="1"/>
  <c r="K6" i="5"/>
  <c r="P94" s="1"/>
  <c r="R94" s="1"/>
  <c r="K11" i="1"/>
  <c r="P54"/>
  <c r="M19" s="1"/>
  <c r="L88" s="1"/>
  <c r="N88" s="1"/>
  <c r="P52"/>
  <c r="K17" s="1"/>
  <c r="M13" i="2"/>
  <c r="O95" s="1"/>
  <c r="Q95" s="1"/>
  <c r="M5"/>
  <c r="O87" s="1"/>
  <c r="Q87" s="1"/>
  <c r="Y49" i="6"/>
  <c r="S57"/>
  <c r="T57" s="1"/>
  <c r="W57" s="1"/>
  <c r="S65"/>
  <c r="T65" s="1"/>
  <c r="W65" s="1"/>
  <c r="S72"/>
  <c r="T72" s="1"/>
  <c r="W72" s="1"/>
  <c r="S47"/>
  <c r="T47" s="1"/>
  <c r="W47" s="1"/>
  <c r="Y48"/>
  <c r="X48"/>
  <c r="X56"/>
  <c r="Y56"/>
  <c r="T53"/>
  <c r="W53" s="1"/>
  <c r="X53" s="1"/>
  <c r="T63"/>
  <c r="W63" s="1"/>
  <c r="Y63" s="1"/>
  <c r="S61"/>
  <c r="T61" s="1"/>
  <c r="W61" s="1"/>
  <c r="Y71"/>
  <c r="X71"/>
  <c r="X54"/>
  <c r="T70"/>
  <c r="W70" s="1"/>
  <c r="T55"/>
  <c r="W55" s="1"/>
  <c r="Y72" i="4"/>
  <c r="X72"/>
  <c r="X57"/>
  <c r="Y57"/>
  <c r="Y58"/>
  <c r="X58"/>
  <c r="Y67"/>
  <c r="X67"/>
  <c r="Y61"/>
  <c r="X61"/>
  <c r="Y53"/>
  <c r="M9" s="1"/>
  <c r="Q95" s="1"/>
  <c r="X71"/>
  <c r="Y71"/>
  <c r="Y54"/>
  <c r="X54"/>
  <c r="Y63"/>
  <c r="X63"/>
  <c r="X69"/>
  <c r="Y69"/>
  <c r="X55"/>
  <c r="Y55"/>
  <c r="X59"/>
  <c r="Y59"/>
  <c r="Y56"/>
  <c r="X56"/>
  <c r="X64"/>
  <c r="Y64"/>
  <c r="Y48"/>
  <c r="X48"/>
  <c r="X62"/>
  <c r="Y62"/>
  <c r="X68"/>
  <c r="Y68"/>
  <c r="Y50"/>
  <c r="X50"/>
  <c r="Y70"/>
  <c r="X70"/>
  <c r="X51"/>
  <c r="Y51"/>
  <c r="M7" s="1"/>
  <c r="Q93" s="1"/>
  <c r="X66"/>
  <c r="M22"/>
  <c r="Q108" s="1"/>
  <c r="Y66"/>
  <c r="X49"/>
  <c r="Y49"/>
  <c r="Y65"/>
  <c r="X65"/>
  <c r="M14"/>
  <c r="Q100" s="1"/>
  <c r="Y60"/>
  <c r="X60"/>
  <c r="X52" i="6"/>
  <c r="Y52"/>
  <c r="Y52" i="4"/>
  <c r="X52"/>
  <c r="M102" i="15"/>
  <c r="O102" s="1"/>
  <c r="M26"/>
  <c r="L102" s="1"/>
  <c r="N102" s="1"/>
  <c r="M99"/>
  <c r="O99" s="1"/>
  <c r="M23"/>
  <c r="L99" s="1"/>
  <c r="N99" s="1"/>
  <c r="M95"/>
  <c r="O95" s="1"/>
  <c r="M19"/>
  <c r="L95" s="1"/>
  <c r="N95" s="1"/>
  <c r="M91"/>
  <c r="O91" s="1"/>
  <c r="M15"/>
  <c r="L91" s="1"/>
  <c r="N91" s="1"/>
  <c r="M87"/>
  <c r="O87" s="1"/>
  <c r="M11"/>
  <c r="L87" s="1"/>
  <c r="N87" s="1"/>
  <c r="M83"/>
  <c r="O83" s="1"/>
  <c r="M7"/>
  <c r="L83" s="1"/>
  <c r="N83" s="1"/>
  <c r="M79"/>
  <c r="O79" s="1"/>
  <c r="M3"/>
  <c r="L79" s="1"/>
  <c r="N79" s="1"/>
  <c r="M103"/>
  <c r="O103" s="1"/>
  <c r="M27"/>
  <c r="L103" s="1"/>
  <c r="N103" s="1"/>
  <c r="M100"/>
  <c r="O100" s="1"/>
  <c r="M24"/>
  <c r="L100" s="1"/>
  <c r="N100" s="1"/>
  <c r="M96"/>
  <c r="O96" s="1"/>
  <c r="M20"/>
  <c r="L96" s="1"/>
  <c r="N96" s="1"/>
  <c r="M92"/>
  <c r="O92" s="1"/>
  <c r="M16"/>
  <c r="L92" s="1"/>
  <c r="N92" s="1"/>
  <c r="M88"/>
  <c r="O88" s="1"/>
  <c r="M12"/>
  <c r="L88" s="1"/>
  <c r="N88" s="1"/>
  <c r="M84"/>
  <c r="O84" s="1"/>
  <c r="M8"/>
  <c r="L84" s="1"/>
  <c r="N84" s="1"/>
  <c r="M80"/>
  <c r="O80" s="1"/>
  <c r="M4"/>
  <c r="L80" s="1"/>
  <c r="N80" s="1"/>
  <c r="M97"/>
  <c r="O97" s="1"/>
  <c r="M21"/>
  <c r="L97" s="1"/>
  <c r="N97" s="1"/>
  <c r="M93"/>
  <c r="O93" s="1"/>
  <c r="M17"/>
  <c r="L93" s="1"/>
  <c r="N93" s="1"/>
  <c r="M89"/>
  <c r="O89" s="1"/>
  <c r="M13"/>
  <c r="L89" s="1"/>
  <c r="N89" s="1"/>
  <c r="M85"/>
  <c r="O85" s="1"/>
  <c r="M9"/>
  <c r="L85" s="1"/>
  <c r="N85" s="1"/>
  <c r="M81"/>
  <c r="O81" s="1"/>
  <c r="M5"/>
  <c r="L81" s="1"/>
  <c r="N81" s="1"/>
  <c r="M101"/>
  <c r="O101" s="1"/>
  <c r="M25"/>
  <c r="L101" s="1"/>
  <c r="N101" s="1"/>
  <c r="M98"/>
  <c r="O98" s="1"/>
  <c r="M22"/>
  <c r="L98" s="1"/>
  <c r="N98" s="1"/>
  <c r="M94"/>
  <c r="O94" s="1"/>
  <c r="M18"/>
  <c r="L94" s="1"/>
  <c r="N94" s="1"/>
  <c r="M90"/>
  <c r="O90" s="1"/>
  <c r="M14"/>
  <c r="L90" s="1"/>
  <c r="N90" s="1"/>
  <c r="M86"/>
  <c r="O86" s="1"/>
  <c r="M10"/>
  <c r="L86" s="1"/>
  <c r="N86" s="1"/>
  <c r="M82"/>
  <c r="O82" s="1"/>
  <c r="M6"/>
  <c r="L82" s="1"/>
  <c r="N82" s="1"/>
  <c r="P104"/>
  <c r="Y69" i="6"/>
  <c r="X69"/>
  <c r="X50"/>
  <c r="Y50"/>
  <c r="Y51"/>
  <c r="Y64"/>
  <c r="X64"/>
  <c r="M3" i="5"/>
  <c r="O91" s="1"/>
  <c r="Q91" s="1"/>
  <c r="X67" i="6"/>
  <c r="X66"/>
  <c r="Y66"/>
  <c r="Y62"/>
  <c r="X62"/>
  <c r="Y68"/>
  <c r="X68"/>
  <c r="M3" i="2"/>
  <c r="O85" s="1"/>
  <c r="Q85" s="1"/>
  <c r="O100" i="4"/>
  <c r="K28" i="2"/>
  <c r="P110" s="1"/>
  <c r="R110" s="1"/>
  <c r="K24"/>
  <c r="P106" s="1"/>
  <c r="R106" s="1"/>
  <c r="K28" i="5"/>
  <c r="P116" s="1"/>
  <c r="R116" s="1"/>
  <c r="K20"/>
  <c r="P108" s="1"/>
  <c r="R108" s="1"/>
  <c r="K22" i="2"/>
  <c r="P104" s="1"/>
  <c r="R104" s="1"/>
  <c r="X47" i="4" l="1"/>
  <c r="Y47"/>
  <c r="M15"/>
  <c r="Q101" s="1"/>
  <c r="V108"/>
  <c r="V100"/>
  <c r="O95"/>
  <c r="S95" s="1"/>
  <c r="X60" i="6"/>
  <c r="R108" i="4"/>
  <c r="U108" s="1"/>
  <c r="X63" i="6"/>
  <c r="M17" i="4"/>
  <c r="Q103" s="1"/>
  <c r="M23"/>
  <c r="Q109" s="1"/>
  <c r="M28"/>
  <c r="Q114" s="1"/>
  <c r="Y59" i="6"/>
  <c r="M15" s="1"/>
  <c r="Q101" s="1"/>
  <c r="V101" s="1"/>
  <c r="K11" i="5"/>
  <c r="P99" s="1"/>
  <c r="R99" s="1"/>
  <c r="R95" i="4"/>
  <c r="U95" s="1"/>
  <c r="K7" i="5"/>
  <c r="P95" s="1"/>
  <c r="R95" s="1"/>
  <c r="M86" i="1"/>
  <c r="O86" s="1"/>
  <c r="M80"/>
  <c r="O80" s="1"/>
  <c r="M94"/>
  <c r="O94" s="1"/>
  <c r="M77"/>
  <c r="O77" s="1"/>
  <c r="M97"/>
  <c r="O97" s="1"/>
  <c r="M72"/>
  <c r="O72" s="1"/>
  <c r="M93"/>
  <c r="O93" s="1"/>
  <c r="M78"/>
  <c r="O78" s="1"/>
  <c r="K5"/>
  <c r="K16" i="5"/>
  <c r="P104" s="1"/>
  <c r="R104" s="1"/>
  <c r="K4"/>
  <c r="P92" s="1"/>
  <c r="R92" s="1"/>
  <c r="K14" i="4"/>
  <c r="P100" s="1"/>
  <c r="T100" s="1"/>
  <c r="M17" i="1"/>
  <c r="L86" s="1"/>
  <c r="N86" s="1"/>
  <c r="M14" i="6"/>
  <c r="R100" s="1"/>
  <c r="U100" s="1"/>
  <c r="K27" i="5"/>
  <c r="P115" s="1"/>
  <c r="R115" s="1"/>
  <c r="K25" i="2"/>
  <c r="P107" s="1"/>
  <c r="R107" s="1"/>
  <c r="R93" i="4"/>
  <c r="U93" s="1"/>
  <c r="V93"/>
  <c r="M12"/>
  <c r="Q98" s="1"/>
  <c r="M19"/>
  <c r="Q105" s="1"/>
  <c r="K5" i="2"/>
  <c r="P87" s="1"/>
  <c r="R87" s="1"/>
  <c r="K13"/>
  <c r="P95" s="1"/>
  <c r="R95" s="1"/>
  <c r="K19" i="1"/>
  <c r="K9" i="5"/>
  <c r="P97" s="1"/>
  <c r="R97" s="1"/>
  <c r="K18"/>
  <c r="P106" s="1"/>
  <c r="R106" s="1"/>
  <c r="K5"/>
  <c r="P93" s="1"/>
  <c r="R93" s="1"/>
  <c r="K7" i="2"/>
  <c r="P89" s="1"/>
  <c r="R89" s="1"/>
  <c r="K26"/>
  <c r="P108" s="1"/>
  <c r="R108" s="1"/>
  <c r="K10" i="5"/>
  <c r="P98" s="1"/>
  <c r="R98" s="1"/>
  <c r="K15"/>
  <c r="P103" s="1"/>
  <c r="R103" s="1"/>
  <c r="K19"/>
  <c r="P107" s="1"/>
  <c r="R107" s="1"/>
  <c r="K26"/>
  <c r="P114" s="1"/>
  <c r="R114" s="1"/>
  <c r="M4" i="6"/>
  <c r="Q90" s="1"/>
  <c r="V90" s="1"/>
  <c r="Y53"/>
  <c r="M8"/>
  <c r="Q94" s="1"/>
  <c r="V94" s="1"/>
  <c r="Y65"/>
  <c r="X65"/>
  <c r="Y47"/>
  <c r="X47"/>
  <c r="Y57"/>
  <c r="X57"/>
  <c r="Y55"/>
  <c r="X55"/>
  <c r="M10"/>
  <c r="M27"/>
  <c r="M12"/>
  <c r="M5"/>
  <c r="X72"/>
  <c r="Y72"/>
  <c r="Y70"/>
  <c r="X70"/>
  <c r="Y61"/>
  <c r="X61"/>
  <c r="O100"/>
  <c r="M11" i="4"/>
  <c r="Q97" s="1"/>
  <c r="M25"/>
  <c r="Q111" s="1"/>
  <c r="M10"/>
  <c r="Q96" s="1"/>
  <c r="M27"/>
  <c r="Q113" s="1"/>
  <c r="M13"/>
  <c r="Q99" s="1"/>
  <c r="K7"/>
  <c r="P93" s="1"/>
  <c r="T93" s="1"/>
  <c r="R100"/>
  <c r="U100" s="1"/>
  <c r="M18"/>
  <c r="Q104" s="1"/>
  <c r="M20"/>
  <c r="Q106" s="1"/>
  <c r="O93"/>
  <c r="S93" s="1"/>
  <c r="O103"/>
  <c r="M21"/>
  <c r="Q107" s="1"/>
  <c r="M5"/>
  <c r="Q91" s="1"/>
  <c r="M6"/>
  <c r="Q92" s="1"/>
  <c r="M24"/>
  <c r="Q110" s="1"/>
  <c r="M4"/>
  <c r="Q90" s="1"/>
  <c r="K22"/>
  <c r="P108" s="1"/>
  <c r="T108" s="1"/>
  <c r="M3"/>
  <c r="Q89" s="1"/>
  <c r="M16"/>
  <c r="Q102" s="1"/>
  <c r="K9"/>
  <c r="P95" s="1"/>
  <c r="T95" s="1"/>
  <c r="V95"/>
  <c r="M8"/>
  <c r="Q94" s="1"/>
  <c r="O108"/>
  <c r="W108" s="1"/>
  <c r="M26"/>
  <c r="O101"/>
  <c r="S101" s="1"/>
  <c r="K15"/>
  <c r="P101" s="1"/>
  <c r="T101" s="1"/>
  <c r="R101"/>
  <c r="U101" s="1"/>
  <c r="V101"/>
  <c r="V105"/>
  <c r="K19"/>
  <c r="P105" s="1"/>
  <c r="T105" s="1"/>
  <c r="R105"/>
  <c r="U105" s="1"/>
  <c r="O105"/>
  <c r="S105" s="1"/>
  <c r="K11"/>
  <c r="P97" s="1"/>
  <c r="T97" s="1"/>
  <c r="M9" i="6"/>
  <c r="P82" i="15"/>
  <c r="P86"/>
  <c r="P90"/>
  <c r="P94"/>
  <c r="P98"/>
  <c r="P101"/>
  <c r="P81"/>
  <c r="P85"/>
  <c r="P89"/>
  <c r="P93"/>
  <c r="P97"/>
  <c r="P80"/>
  <c r="P84"/>
  <c r="P88"/>
  <c r="P92"/>
  <c r="P96"/>
  <c r="P100"/>
  <c r="P103"/>
  <c r="P79"/>
  <c r="P83"/>
  <c r="P87"/>
  <c r="P91"/>
  <c r="P95"/>
  <c r="P99"/>
  <c r="P102"/>
  <c r="S100" i="4"/>
  <c r="S103"/>
  <c r="M24" i="6"/>
  <c r="R110" s="1"/>
  <c r="U110" s="1"/>
  <c r="M19"/>
  <c r="O105" s="1"/>
  <c r="R96" i="4"/>
  <c r="U96" s="1"/>
  <c r="O96"/>
  <c r="K3" i="2"/>
  <c r="P85" s="1"/>
  <c r="R85" s="1"/>
  <c r="M18" i="6"/>
  <c r="M22"/>
  <c r="M23"/>
  <c r="K3" i="5"/>
  <c r="P91" s="1"/>
  <c r="R91" s="1"/>
  <c r="M20" i="6"/>
  <c r="M7"/>
  <c r="M6"/>
  <c r="M16"/>
  <c r="M25"/>
  <c r="R104" i="4"/>
  <c r="U104" s="1"/>
  <c r="V104"/>
  <c r="O104"/>
  <c r="K18"/>
  <c r="P104" s="1"/>
  <c r="T104" s="1"/>
  <c r="R98"/>
  <c r="U98" s="1"/>
  <c r="O98"/>
  <c r="K24"/>
  <c r="P110" s="1"/>
  <c r="T110" s="1"/>
  <c r="R109"/>
  <c r="U109" s="1"/>
  <c r="K23"/>
  <c r="P109" s="1"/>
  <c r="T109" s="1"/>
  <c r="K26" l="1"/>
  <c r="P112" s="1"/>
  <c r="T112" s="1"/>
  <c r="Q112"/>
  <c r="R110"/>
  <c r="U110" s="1"/>
  <c r="V110"/>
  <c r="K5"/>
  <c r="P91" s="1"/>
  <c r="T91" s="1"/>
  <c r="V91"/>
  <c r="O106"/>
  <c r="S106" s="1"/>
  <c r="K13"/>
  <c r="P99" s="1"/>
  <c r="T99" s="1"/>
  <c r="V96"/>
  <c r="R97"/>
  <c r="U97" s="1"/>
  <c r="V97"/>
  <c r="K12"/>
  <c r="P98" s="1"/>
  <c r="T98" s="1"/>
  <c r="V98"/>
  <c r="V109"/>
  <c r="R112"/>
  <c r="U112" s="1"/>
  <c r="V90"/>
  <c r="V92"/>
  <c r="O107"/>
  <c r="S107" s="1"/>
  <c r="V107"/>
  <c r="V113"/>
  <c r="R111"/>
  <c r="U111" s="1"/>
  <c r="V103"/>
  <c r="O109"/>
  <c r="S109" s="1"/>
  <c r="O110"/>
  <c r="K10"/>
  <c r="P96" s="1"/>
  <c r="T96" s="1"/>
  <c r="W100"/>
  <c r="O97"/>
  <c r="O90"/>
  <c r="S90" s="1"/>
  <c r="R105" i="6"/>
  <c r="U105" s="1"/>
  <c r="R90" i="4"/>
  <c r="U90" s="1"/>
  <c r="K6"/>
  <c r="P92" s="1"/>
  <c r="T92" s="1"/>
  <c r="K4"/>
  <c r="P90" s="1"/>
  <c r="T90" s="1"/>
  <c r="O92"/>
  <c r="S92" s="1"/>
  <c r="R103"/>
  <c r="U103" s="1"/>
  <c r="K21"/>
  <c r="P107" s="1"/>
  <c r="T107" s="1"/>
  <c r="K17"/>
  <c r="P103" s="1"/>
  <c r="M3" i="6"/>
  <c r="K3" s="1"/>
  <c r="R107" i="4"/>
  <c r="U107" s="1"/>
  <c r="K14" i="6"/>
  <c r="P100" s="1"/>
  <c r="T100" s="1"/>
  <c r="Q100"/>
  <c r="V100" s="1"/>
  <c r="K8"/>
  <c r="P94" s="1"/>
  <c r="T94" s="1"/>
  <c r="R90"/>
  <c r="U90" s="1"/>
  <c r="O90"/>
  <c r="S90" s="1"/>
  <c r="K4"/>
  <c r="P90" s="1"/>
  <c r="T90" s="1"/>
  <c r="S108" i="4"/>
  <c r="O99"/>
  <c r="S99" s="1"/>
  <c r="R92"/>
  <c r="U92" s="1"/>
  <c r="W93"/>
  <c r="M74" i="1"/>
  <c r="O74" s="1"/>
  <c r="M88"/>
  <c r="O88" s="1"/>
  <c r="K20" i="4"/>
  <c r="P106" s="1"/>
  <c r="T106" s="1"/>
  <c r="R99"/>
  <c r="U99" s="1"/>
  <c r="O111"/>
  <c r="S111" s="1"/>
  <c r="R113"/>
  <c r="U113" s="1"/>
  <c r="O112"/>
  <c r="S112" s="1"/>
  <c r="K25"/>
  <c r="P111" s="1"/>
  <c r="T111" s="1"/>
  <c r="V111"/>
  <c r="O113"/>
  <c r="S113" s="1"/>
  <c r="K27"/>
  <c r="P113" s="1"/>
  <c r="T113" s="1"/>
  <c r="V99"/>
  <c r="O110" i="6"/>
  <c r="O101"/>
  <c r="S101" s="1"/>
  <c r="Q110"/>
  <c r="V110" s="1"/>
  <c r="R94"/>
  <c r="U94" s="1"/>
  <c r="O94"/>
  <c r="S94" s="1"/>
  <c r="M13"/>
  <c r="K13" s="1"/>
  <c r="P99" s="1"/>
  <c r="T99" s="1"/>
  <c r="K15"/>
  <c r="P101" s="1"/>
  <c r="R101"/>
  <c r="U101" s="1"/>
  <c r="O91"/>
  <c r="R91"/>
  <c r="U91" s="1"/>
  <c r="Q91"/>
  <c r="V91" s="1"/>
  <c r="K5"/>
  <c r="P91" s="1"/>
  <c r="T91" s="1"/>
  <c r="O113"/>
  <c r="R113"/>
  <c r="U113" s="1"/>
  <c r="Q113"/>
  <c r="V113" s="1"/>
  <c r="K27"/>
  <c r="P113" s="1"/>
  <c r="T113" s="1"/>
  <c r="M17"/>
  <c r="M26"/>
  <c r="M28"/>
  <c r="M11"/>
  <c r="M21"/>
  <c r="W90"/>
  <c r="S100"/>
  <c r="W100"/>
  <c r="O98"/>
  <c r="K12"/>
  <c r="P98" s="1"/>
  <c r="T98" s="1"/>
  <c r="R98"/>
  <c r="U98" s="1"/>
  <c r="Q98"/>
  <c r="V98" s="1"/>
  <c r="R96"/>
  <c r="U96" s="1"/>
  <c r="K10"/>
  <c r="P96" s="1"/>
  <c r="T96" s="1"/>
  <c r="O96"/>
  <c r="Q96"/>
  <c r="V96" s="1"/>
  <c r="R91" i="4"/>
  <c r="U91" s="1"/>
  <c r="R106"/>
  <c r="U106" s="1"/>
  <c r="V106"/>
  <c r="O91"/>
  <c r="S91" s="1"/>
  <c r="W101"/>
  <c r="W97"/>
  <c r="W105"/>
  <c r="V89"/>
  <c r="O89"/>
  <c r="R89"/>
  <c r="U89" s="1"/>
  <c r="K3"/>
  <c r="P89" s="1"/>
  <c r="T89" s="1"/>
  <c r="W95"/>
  <c r="S97"/>
  <c r="V112"/>
  <c r="O95" i="6"/>
  <c r="K9"/>
  <c r="P95" s="1"/>
  <c r="T95" s="1"/>
  <c r="Q95"/>
  <c r="V95" s="1"/>
  <c r="R95"/>
  <c r="U95" s="1"/>
  <c r="P89"/>
  <c r="T89" s="1"/>
  <c r="O89"/>
  <c r="Q89"/>
  <c r="V89" s="1"/>
  <c r="R89"/>
  <c r="U89" s="1"/>
  <c r="W109" i="4"/>
  <c r="S104"/>
  <c r="W104"/>
  <c r="S98"/>
  <c r="W98"/>
  <c r="S110"/>
  <c r="W110"/>
  <c r="S96"/>
  <c r="W96"/>
  <c r="W90"/>
  <c r="K19" i="6"/>
  <c r="P105" s="1"/>
  <c r="T105" s="1"/>
  <c r="K24"/>
  <c r="P110" s="1"/>
  <c r="T110" s="1"/>
  <c r="S105"/>
  <c r="S110"/>
  <c r="Q105"/>
  <c r="V105" s="1"/>
  <c r="O102"/>
  <c r="R102"/>
  <c r="U102" s="1"/>
  <c r="Q102"/>
  <c r="V102" s="1"/>
  <c r="K16"/>
  <c r="P102" s="1"/>
  <c r="T102" s="1"/>
  <c r="R106"/>
  <c r="U106" s="1"/>
  <c r="O106"/>
  <c r="Q106"/>
  <c r="V106" s="1"/>
  <c r="K20"/>
  <c r="P106" s="1"/>
  <c r="T106" s="1"/>
  <c r="R108"/>
  <c r="U108" s="1"/>
  <c r="K22"/>
  <c r="P108" s="1"/>
  <c r="T108" s="1"/>
  <c r="O108"/>
  <c r="Q108"/>
  <c r="V108" s="1"/>
  <c r="R111"/>
  <c r="U111" s="1"/>
  <c r="O111"/>
  <c r="Q111"/>
  <c r="V111" s="1"/>
  <c r="K25"/>
  <c r="P111" s="1"/>
  <c r="T111" s="1"/>
  <c r="R92"/>
  <c r="U92" s="1"/>
  <c r="Q92"/>
  <c r="V92" s="1"/>
  <c r="O92"/>
  <c r="K6"/>
  <c r="P92" s="1"/>
  <c r="T92" s="1"/>
  <c r="K7"/>
  <c r="P93" s="1"/>
  <c r="T93" s="1"/>
  <c r="R93"/>
  <c r="U93" s="1"/>
  <c r="Q93"/>
  <c r="V93" s="1"/>
  <c r="O93"/>
  <c r="R94" i="4"/>
  <c r="U94" s="1"/>
  <c r="V94"/>
  <c r="O94"/>
  <c r="K8"/>
  <c r="P94" s="1"/>
  <c r="T94" s="1"/>
  <c r="K23" i="6"/>
  <c r="P109" s="1"/>
  <c r="T109" s="1"/>
  <c r="R109"/>
  <c r="U109" s="1"/>
  <c r="O109"/>
  <c r="Q109"/>
  <c r="V109" s="1"/>
  <c r="R104"/>
  <c r="U104" s="1"/>
  <c r="O104"/>
  <c r="K18"/>
  <c r="P104" s="1"/>
  <c r="T104" s="1"/>
  <c r="Q104"/>
  <c r="V104" s="1"/>
  <c r="R102" i="4"/>
  <c r="U102" s="1"/>
  <c r="V102"/>
  <c r="O102"/>
  <c r="K16"/>
  <c r="P102" s="1"/>
  <c r="T102" s="1"/>
  <c r="V114"/>
  <c r="R114"/>
  <c r="U114" s="1"/>
  <c r="O114"/>
  <c r="K28"/>
  <c r="P114" s="1"/>
  <c r="T114" s="1"/>
  <c r="T103" l="1"/>
  <c r="W103"/>
  <c r="R99" i="6"/>
  <c r="U99" s="1"/>
  <c r="W92" i="4"/>
  <c r="W107"/>
  <c r="W99"/>
  <c r="W112"/>
  <c r="W111"/>
  <c r="W113"/>
  <c r="W106"/>
  <c r="W91"/>
  <c r="Q99" i="6"/>
  <c r="V99" s="1"/>
  <c r="O99"/>
  <c r="S99" s="1"/>
  <c r="W94"/>
  <c r="T101"/>
  <c r="W101"/>
  <c r="W96"/>
  <c r="S96"/>
  <c r="W98"/>
  <c r="S98"/>
  <c r="R97"/>
  <c r="U97" s="1"/>
  <c r="O97"/>
  <c r="Q97"/>
  <c r="V97" s="1"/>
  <c r="K11"/>
  <c r="P97" s="1"/>
  <c r="T97" s="1"/>
  <c r="R112"/>
  <c r="U112" s="1"/>
  <c r="Q112"/>
  <c r="V112" s="1"/>
  <c r="O112"/>
  <c r="K26"/>
  <c r="P112" s="1"/>
  <c r="T112" s="1"/>
  <c r="S113"/>
  <c r="W113"/>
  <c r="S91"/>
  <c r="W91"/>
  <c r="R107"/>
  <c r="U107" s="1"/>
  <c r="O107"/>
  <c r="Q107"/>
  <c r="V107" s="1"/>
  <c r="K21"/>
  <c r="P107" s="1"/>
  <c r="T107" s="1"/>
  <c r="R114"/>
  <c r="U114" s="1"/>
  <c r="O114"/>
  <c r="Q114"/>
  <c r="V114" s="1"/>
  <c r="K28"/>
  <c r="P114" s="1"/>
  <c r="T114" s="1"/>
  <c r="O103"/>
  <c r="R103"/>
  <c r="U103" s="1"/>
  <c r="Q103"/>
  <c r="V103" s="1"/>
  <c r="K17"/>
  <c r="P103" s="1"/>
  <c r="T103" s="1"/>
  <c r="S89" i="4"/>
  <c r="W89"/>
  <c r="S95" i="6"/>
  <c r="W95"/>
  <c r="S89"/>
  <c r="W89"/>
  <c r="S114" i="4"/>
  <c r="W114"/>
  <c r="S102"/>
  <c r="W102"/>
  <c r="S94"/>
  <c r="W94"/>
  <c r="W110" i="6"/>
  <c r="W105"/>
  <c r="S109"/>
  <c r="W109"/>
  <c r="S108"/>
  <c r="W108"/>
  <c r="S102"/>
  <c r="W102"/>
  <c r="S104"/>
  <c r="W104"/>
  <c r="S93"/>
  <c r="W93"/>
  <c r="S111"/>
  <c r="W111"/>
  <c r="S106"/>
  <c r="W106"/>
  <c r="S92"/>
  <c r="W92"/>
  <c r="W99" l="1"/>
  <c r="W107"/>
  <c r="S107"/>
  <c r="S103"/>
  <c r="W103"/>
  <c r="W112"/>
  <c r="S112"/>
  <c r="W114"/>
  <c r="S114"/>
  <c r="S97"/>
  <c r="W97"/>
</calcChain>
</file>

<file path=xl/sharedStrings.xml><?xml version="1.0" encoding="utf-8"?>
<sst xmlns="http://schemas.openxmlformats.org/spreadsheetml/2006/main" count="3403" uniqueCount="277">
  <si>
    <t>m/s</t>
  </si>
  <si>
    <r>
      <t>m</t>
    </r>
    <r>
      <rPr>
        <vertAlign val="superscript"/>
        <sz val="10"/>
        <rFont val="Arial"/>
        <family val="2"/>
      </rPr>
      <t>2</t>
    </r>
  </si>
  <si>
    <t>cm</t>
  </si>
  <si>
    <t>atm</t>
  </si>
  <si>
    <t>VALUE</t>
  </si>
  <si>
    <t>UNITS</t>
  </si>
  <si>
    <t>Benzene</t>
  </si>
  <si>
    <t>Cumene</t>
  </si>
  <si>
    <t>Ethylbenzene</t>
  </si>
  <si>
    <t>Naphthalene</t>
  </si>
  <si>
    <t>Phenol</t>
  </si>
  <si>
    <t>Styrene</t>
  </si>
  <si>
    <t>Toluene</t>
  </si>
  <si>
    <t>Carbon disulfide</t>
  </si>
  <si>
    <t>Carbonyl sulfide</t>
  </si>
  <si>
    <t>Diethanolamine</t>
  </si>
  <si>
    <t>Ethylene glycol</t>
  </si>
  <si>
    <t>Methanol</t>
  </si>
  <si>
    <r>
      <t>g/m</t>
    </r>
    <r>
      <rPr>
        <vertAlign val="superscript"/>
        <sz val="10"/>
        <rFont val="Arial"/>
        <family val="2"/>
      </rPr>
      <t>3</t>
    </r>
  </si>
  <si>
    <r>
      <t>m</t>
    </r>
    <r>
      <rPr>
        <vertAlign val="superscript"/>
        <sz val="10"/>
        <rFont val="Arial"/>
        <family val="2"/>
      </rPr>
      <t>3</t>
    </r>
    <r>
      <rPr>
        <sz val="10"/>
        <rFont val="Arial"/>
        <family val="2"/>
      </rPr>
      <t>/s</t>
    </r>
  </si>
  <si>
    <t>CAS No.</t>
  </si>
  <si>
    <t>INTERMEDIATE OUTPUTS</t>
  </si>
  <si>
    <t>AIR EMISSIONS</t>
  </si>
  <si>
    <t>g/s</t>
  </si>
  <si>
    <t>DEFAULT VARIABLES / CONSTANTS</t>
  </si>
  <si>
    <t>g/cm-s</t>
  </si>
  <si>
    <r>
      <t>g/cm</t>
    </r>
    <r>
      <rPr>
        <vertAlign val="superscript"/>
        <sz val="10"/>
        <rFont val="Arial"/>
        <family val="2"/>
      </rPr>
      <t>3</t>
    </r>
  </si>
  <si>
    <r>
      <t>Density of air (ρ</t>
    </r>
    <r>
      <rPr>
        <vertAlign val="subscript"/>
        <sz val="10"/>
        <rFont val="Arial"/>
        <family val="2"/>
      </rPr>
      <t>a</t>
    </r>
    <r>
      <rPr>
        <sz val="10"/>
        <rFont val="Arial"/>
        <family val="2"/>
      </rPr>
      <t>)</t>
    </r>
  </si>
  <si>
    <t>g/g-mol</t>
  </si>
  <si>
    <r>
      <t>Molecular weight of oil (MW</t>
    </r>
    <r>
      <rPr>
        <vertAlign val="subscript"/>
        <sz val="10"/>
        <rFont val="Arial"/>
        <family val="2"/>
      </rPr>
      <t>oil</t>
    </r>
    <r>
      <rPr>
        <sz val="10"/>
        <rFont val="Arial"/>
        <family val="2"/>
      </rPr>
      <t>)</t>
    </r>
  </si>
  <si>
    <r>
      <t>Molecular weight of air (MW</t>
    </r>
    <r>
      <rPr>
        <vertAlign val="subscript"/>
        <sz val="10"/>
        <rFont val="Arial"/>
        <family val="2"/>
      </rPr>
      <t>air</t>
    </r>
    <r>
      <rPr>
        <sz val="10"/>
        <rFont val="Arial"/>
        <family val="2"/>
      </rPr>
      <t>)</t>
    </r>
  </si>
  <si>
    <r>
      <t>Density of oil (ρ</t>
    </r>
    <r>
      <rPr>
        <vertAlign val="subscript"/>
        <sz val="10"/>
        <rFont val="Arial"/>
        <family val="2"/>
      </rPr>
      <t>oil</t>
    </r>
    <r>
      <rPr>
        <sz val="10"/>
        <rFont val="Arial"/>
        <family val="2"/>
      </rPr>
      <t>)</t>
    </r>
  </si>
  <si>
    <t>EFFLUENT WATER CONCENTRATION</t>
  </si>
  <si>
    <r>
      <t>Flow of oil (Q</t>
    </r>
    <r>
      <rPr>
        <vertAlign val="subscript"/>
        <sz val="10"/>
        <rFont val="Arial"/>
        <family val="2"/>
      </rPr>
      <t>oil</t>
    </r>
    <r>
      <rPr>
        <sz val="10"/>
        <rFont val="Arial"/>
        <family val="2"/>
      </rPr>
      <t>) [default = 0.001*Q]</t>
    </r>
  </si>
  <si>
    <r>
      <t>Density of water (ρ</t>
    </r>
    <r>
      <rPr>
        <vertAlign val="subscript"/>
        <sz val="10"/>
        <rFont val="Arial"/>
        <family val="2"/>
      </rPr>
      <t>L</t>
    </r>
    <r>
      <rPr>
        <sz val="10"/>
        <rFont val="Arial"/>
        <family val="2"/>
      </rPr>
      <t>)</t>
    </r>
  </si>
  <si>
    <t>Keq</t>
  </si>
  <si>
    <t>Universal gas constant (R )</t>
  </si>
  <si>
    <t>deg. C</t>
  </si>
  <si>
    <t>hp</t>
  </si>
  <si>
    <t>Power number (P)</t>
  </si>
  <si>
    <t>Reynolds number (Re)</t>
  </si>
  <si>
    <t>Froude number (Fr)</t>
  </si>
  <si>
    <r>
      <t>Oxygen transfer correction factor (O</t>
    </r>
    <r>
      <rPr>
        <vertAlign val="subscript"/>
        <sz val="10"/>
        <rFont val="Arial"/>
        <family val="2"/>
      </rPr>
      <t>t</t>
    </r>
    <r>
      <rPr>
        <sz val="10"/>
        <rFont val="Arial"/>
        <family val="2"/>
      </rPr>
      <t>)</t>
    </r>
  </si>
  <si>
    <t>dimensionless</t>
  </si>
  <si>
    <t>Oxygen transfer rating to surface area (J)</t>
  </si>
  <si>
    <r>
      <t>lb O</t>
    </r>
    <r>
      <rPr>
        <vertAlign val="subscript"/>
        <sz val="10"/>
        <rFont val="Arial"/>
        <family val="2"/>
      </rPr>
      <t>2</t>
    </r>
    <r>
      <rPr>
        <sz val="10"/>
        <rFont val="Arial"/>
        <family val="2"/>
      </rPr>
      <t>/hp-hr</t>
    </r>
  </si>
  <si>
    <t>m</t>
  </si>
  <si>
    <t>Impeller diameter (d)</t>
  </si>
  <si>
    <t>Impeller diameter (d*)</t>
  </si>
  <si>
    <t>ft</t>
  </si>
  <si>
    <t>Rotational speed of impeller (w)</t>
  </si>
  <si>
    <t>rad/s</t>
  </si>
  <si>
    <t>number</t>
  </si>
  <si>
    <r>
      <t>Fraction of area agitated (Va</t>
    </r>
    <r>
      <rPr>
        <vertAlign val="subscript"/>
        <sz val="10"/>
        <rFont val="Arial"/>
        <family val="2"/>
      </rPr>
      <t>v</t>
    </r>
    <r>
      <rPr>
        <sz val="10"/>
        <rFont val="Arial"/>
        <family val="2"/>
      </rPr>
      <t>), ft</t>
    </r>
    <r>
      <rPr>
        <vertAlign val="superscript"/>
        <sz val="10"/>
        <rFont val="Arial"/>
        <family val="2"/>
      </rPr>
      <t>2</t>
    </r>
  </si>
  <si>
    <t>F/D</t>
  </si>
  <si>
    <t>Effective Diameter (de)</t>
  </si>
  <si>
    <r>
      <t>Windspeed (U</t>
    </r>
    <r>
      <rPr>
        <vertAlign val="subscript"/>
        <sz val="10"/>
        <rFont val="Arial"/>
        <family val="2"/>
      </rPr>
      <t>10</t>
    </r>
    <r>
      <rPr>
        <sz val="10"/>
        <rFont val="Arial"/>
        <family val="2"/>
      </rPr>
      <t>)</t>
    </r>
  </si>
  <si>
    <t>DEFAULT VALUE</t>
  </si>
  <si>
    <t>Fraction of volume that is oil (FO)</t>
  </si>
  <si>
    <t>Compound A</t>
  </si>
  <si>
    <t>Compound B</t>
  </si>
  <si>
    <t>Compound C</t>
  </si>
  <si>
    <t>Compound Name</t>
  </si>
  <si>
    <t>Mol.Wt.</t>
  </si>
  <si>
    <t>Vap. Press. (mmHg)</t>
  </si>
  <si>
    <t>H law const. (atm-m3/mol)</t>
  </si>
  <si>
    <t>Di,w (cm2/sec)</t>
  </si>
  <si>
    <t>Di,a (cm2/sec)</t>
  </si>
  <si>
    <t>log(Kow)</t>
  </si>
  <si>
    <t>Methyl ethyl ketone</t>
  </si>
  <si>
    <t>1,3-Butadiene</t>
  </si>
  <si>
    <t>Methyl isobutyl ketone</t>
  </si>
  <si>
    <t>n-Hexane</t>
  </si>
  <si>
    <t>Cresols (total)</t>
  </si>
  <si>
    <t>Xylenes</t>
  </si>
  <si>
    <t>Methyl tert-butyl ether</t>
  </si>
  <si>
    <t>Color Code:</t>
  </si>
  <si>
    <t>Data not in HWIR database; used value from CHEMDAT8 constituent input database</t>
  </si>
  <si>
    <t>Biphenyl, 1,1-</t>
  </si>
  <si>
    <t>Dichloroethane, 1,2-</t>
  </si>
  <si>
    <t>Trimethylpentane, 2,2,4-</t>
  </si>
  <si>
    <t>Ks, (g/m3)</t>
  </si>
  <si>
    <t>a</t>
  </si>
  <si>
    <t>b</t>
  </si>
  <si>
    <t>c</t>
  </si>
  <si>
    <r>
      <t>Weight fraction of carbon in biomass (f</t>
    </r>
    <r>
      <rPr>
        <vertAlign val="subscript"/>
        <sz val="10"/>
        <rFont val="Arial"/>
        <family val="2"/>
      </rPr>
      <t>oc</t>
    </r>
    <r>
      <rPr>
        <sz val="10"/>
        <rFont val="Arial"/>
        <family val="2"/>
      </rPr>
      <t>)</t>
    </r>
  </si>
  <si>
    <t>Koc</t>
  </si>
  <si>
    <t>U*</t>
  </si>
  <si>
    <r>
      <t>Parameters for k</t>
    </r>
    <r>
      <rPr>
        <vertAlign val="subscript"/>
        <sz val="10"/>
        <rFont val="Arial"/>
        <family val="2"/>
      </rPr>
      <t>l,q</t>
    </r>
    <r>
      <rPr>
        <sz val="10"/>
        <rFont val="Arial"/>
        <family val="2"/>
      </rPr>
      <t xml:space="preserve"> calculation</t>
    </r>
  </si>
  <si>
    <r>
      <t>cm</t>
    </r>
    <r>
      <rPr>
        <vertAlign val="superscript"/>
        <sz val="10"/>
        <rFont val="Arial"/>
        <family val="2"/>
      </rPr>
      <t>2</t>
    </r>
    <r>
      <rPr>
        <sz val="10"/>
        <rFont val="Arial"/>
        <family val="2"/>
      </rPr>
      <t>/sec</t>
    </r>
  </si>
  <si>
    <r>
      <t>Diffusivity of ether in water (D</t>
    </r>
    <r>
      <rPr>
        <vertAlign val="subscript"/>
        <sz val="10"/>
        <rFont val="Arial"/>
        <family val="2"/>
      </rPr>
      <t>ether</t>
    </r>
    <r>
      <rPr>
        <sz val="10"/>
        <rFont val="Arial"/>
        <family val="2"/>
      </rPr>
      <t>)</t>
    </r>
  </si>
  <si>
    <t>Biodegradation reactions are the same as other aliphatic compounds (McCarty and Rittman, 2001).  Therefore, the known biodegradation constants for n-Hexane were substituted.</t>
  </si>
  <si>
    <t>Biodegradation reactions are the same as other aromatic hydrocarbons: oxygenase addition of molecular oxygen to one of the aromatic rings (Boyle, 1992).  Therefore, the known values for Benzene were substituted.</t>
  </si>
  <si>
    <t>Substituted Carbon disulfide biodegradation constants.</t>
  </si>
  <si>
    <r>
      <t>Oil layer thickness (O</t>
    </r>
    <r>
      <rPr>
        <vertAlign val="subscript"/>
        <sz val="10"/>
        <rFont val="Arial"/>
        <family val="2"/>
      </rPr>
      <t>layer</t>
    </r>
    <r>
      <rPr>
        <sz val="10"/>
        <rFont val="Arial"/>
        <family val="2"/>
      </rPr>
      <t>)</t>
    </r>
  </si>
  <si>
    <t>References:</t>
  </si>
  <si>
    <r>
      <t xml:space="preserve">Boyle, A.W., et al. (1992).  "Bacterial PCB Biodegradation." </t>
    </r>
    <r>
      <rPr>
        <i/>
        <sz val="8"/>
        <rFont val="Helvetica"/>
        <family val="2"/>
      </rPr>
      <t>Biodegradation</t>
    </r>
    <r>
      <rPr>
        <sz val="8"/>
        <rFont val="Helvetica"/>
        <family val="2"/>
      </rPr>
      <t xml:space="preserve"> 3(2/3), pp. 285-298.</t>
    </r>
  </si>
  <si>
    <t>Biodegradation reactions are the same as other alcohols (Rittman and McCarty, 2001).  Therefore, the known diodegradation constants for Butanol were substituted.</t>
  </si>
  <si>
    <t>Rittman, B.E. and McCarty, P.L. (2001). "Environmental Biotechnology: Principles and Applications". McGraw-Hill, New York, NY.</t>
  </si>
  <si>
    <t>Kb,max (gVO/g-s)</t>
  </si>
  <si>
    <t>CONSTITUENT CONCENTRATIONS AT POTW (C)</t>
  </si>
  <si>
    <t>INPUTS</t>
  </si>
  <si>
    <r>
      <t>CONSTITUENT INFLUENT CONCENTRATIONS (C</t>
    </r>
    <r>
      <rPr>
        <b/>
        <vertAlign val="subscript"/>
        <sz val="10"/>
        <color indexed="9"/>
        <rFont val="Arial"/>
        <family val="2"/>
      </rPr>
      <t>0</t>
    </r>
    <r>
      <rPr>
        <b/>
        <sz val="10"/>
        <color indexed="9"/>
        <rFont val="Arial"/>
        <family val="2"/>
      </rPr>
      <t>)</t>
    </r>
  </si>
  <si>
    <r>
      <t>Sc</t>
    </r>
    <r>
      <rPr>
        <b/>
        <vertAlign val="subscript"/>
        <sz val="10"/>
        <color indexed="9"/>
        <rFont val="Arial"/>
        <family val="2"/>
      </rPr>
      <t>G</t>
    </r>
  </si>
  <si>
    <r>
      <t>k</t>
    </r>
    <r>
      <rPr>
        <b/>
        <vertAlign val="subscript"/>
        <sz val="10"/>
        <color indexed="9"/>
        <rFont val="Arial"/>
        <family val="2"/>
      </rPr>
      <t>g,q</t>
    </r>
  </si>
  <si>
    <r>
      <t>k</t>
    </r>
    <r>
      <rPr>
        <b/>
        <vertAlign val="subscript"/>
        <sz val="10"/>
        <color indexed="9"/>
        <rFont val="Arial"/>
        <family val="2"/>
      </rPr>
      <t>l,t</t>
    </r>
  </si>
  <si>
    <r>
      <t>CONSTITUENT DISCHARGE CONCENTRATIONS TO POTW (C</t>
    </r>
    <r>
      <rPr>
        <b/>
        <vertAlign val="subscript"/>
        <sz val="10"/>
        <color indexed="9"/>
        <rFont val="Arial"/>
        <family val="2"/>
      </rPr>
      <t>0</t>
    </r>
    <r>
      <rPr>
        <b/>
        <sz val="10"/>
        <color indexed="9"/>
        <rFont val="Arial"/>
        <family val="2"/>
      </rPr>
      <t>)</t>
    </r>
  </si>
  <si>
    <r>
      <t>Sc</t>
    </r>
    <r>
      <rPr>
        <b/>
        <vertAlign val="subscript"/>
        <sz val="10"/>
        <color indexed="9"/>
        <rFont val="Arial"/>
        <family val="2"/>
      </rPr>
      <t>L</t>
    </r>
  </si>
  <si>
    <r>
      <t>k</t>
    </r>
    <r>
      <rPr>
        <b/>
        <vertAlign val="subscript"/>
        <sz val="10"/>
        <color indexed="9"/>
        <rFont val="Arial"/>
        <family val="2"/>
      </rPr>
      <t>l,q</t>
    </r>
  </si>
  <si>
    <r>
      <t>k</t>
    </r>
    <r>
      <rPr>
        <b/>
        <vertAlign val="subscript"/>
        <sz val="10"/>
        <color indexed="9"/>
        <rFont val="Arial"/>
        <family val="2"/>
      </rPr>
      <t>g,t</t>
    </r>
  </si>
  <si>
    <r>
      <t>K</t>
    </r>
    <r>
      <rPr>
        <b/>
        <vertAlign val="subscript"/>
        <sz val="10"/>
        <color indexed="9"/>
        <rFont val="Arial"/>
        <family val="2"/>
      </rPr>
      <t>T</t>
    </r>
  </si>
  <si>
    <r>
      <t>K</t>
    </r>
    <r>
      <rPr>
        <b/>
        <vertAlign val="subscript"/>
        <sz val="10"/>
        <color indexed="9"/>
        <rFont val="Arial"/>
        <family val="2"/>
      </rPr>
      <t>Q</t>
    </r>
  </si>
  <si>
    <r>
      <t>K</t>
    </r>
    <r>
      <rPr>
        <b/>
        <vertAlign val="subscript"/>
        <sz val="10"/>
        <color indexed="9"/>
        <rFont val="Arial"/>
        <family val="2"/>
      </rPr>
      <t>OL</t>
    </r>
  </si>
  <si>
    <r>
      <t>k</t>
    </r>
    <r>
      <rPr>
        <b/>
        <vertAlign val="subscript"/>
        <sz val="10"/>
        <color indexed="9"/>
        <rFont val="Arial"/>
        <family val="2"/>
      </rPr>
      <t xml:space="preserve">g,q, </t>
    </r>
    <r>
      <rPr>
        <b/>
        <sz val="10"/>
        <color indexed="9"/>
        <rFont val="Arial"/>
        <family val="2"/>
      </rPr>
      <t>m/s</t>
    </r>
  </si>
  <si>
    <r>
      <t>Keq</t>
    </r>
    <r>
      <rPr>
        <b/>
        <vertAlign val="subscript"/>
        <sz val="10"/>
        <color indexed="9"/>
        <rFont val="Arial"/>
        <family val="2"/>
      </rPr>
      <t>oil</t>
    </r>
  </si>
  <si>
    <r>
      <t>K</t>
    </r>
    <r>
      <rPr>
        <b/>
        <vertAlign val="subscript"/>
        <sz val="10"/>
        <color indexed="9"/>
        <rFont val="Arial"/>
        <family val="2"/>
      </rPr>
      <t xml:space="preserve">oil, </t>
    </r>
    <r>
      <rPr>
        <b/>
        <sz val="10"/>
        <color indexed="9"/>
        <rFont val="Arial"/>
        <family val="2"/>
      </rPr>
      <t>m/s</t>
    </r>
  </si>
  <si>
    <r>
      <t>Co</t>
    </r>
    <r>
      <rPr>
        <b/>
        <vertAlign val="subscript"/>
        <sz val="10"/>
        <color indexed="9"/>
        <rFont val="Arial"/>
        <family val="2"/>
      </rPr>
      <t xml:space="preserve">oil, </t>
    </r>
    <r>
      <rPr>
        <b/>
        <sz val="10"/>
        <color indexed="9"/>
        <rFont val="Arial"/>
        <family val="2"/>
      </rPr>
      <t>g/m</t>
    </r>
    <r>
      <rPr>
        <b/>
        <vertAlign val="superscript"/>
        <sz val="10"/>
        <color indexed="9"/>
        <rFont val="Arial"/>
        <family val="2"/>
      </rPr>
      <t>3</t>
    </r>
  </si>
  <si>
    <r>
      <t>C</t>
    </r>
    <r>
      <rPr>
        <b/>
        <vertAlign val="subscript"/>
        <sz val="10"/>
        <color indexed="9"/>
        <rFont val="Arial"/>
        <family val="2"/>
      </rPr>
      <t xml:space="preserve">L,oil , </t>
    </r>
    <r>
      <rPr>
        <b/>
        <sz val="10"/>
        <color indexed="9"/>
        <rFont val="Arial"/>
        <family val="2"/>
      </rPr>
      <t>g/m</t>
    </r>
    <r>
      <rPr>
        <b/>
        <vertAlign val="superscript"/>
        <sz val="10"/>
        <color indexed="9"/>
        <rFont val="Arial"/>
        <family val="2"/>
      </rPr>
      <t>3</t>
    </r>
  </si>
  <si>
    <t>SITE-SPECIFIC PROPERTIES</t>
  </si>
  <si>
    <t>DEFAULT PROPERTIES</t>
  </si>
  <si>
    <r>
      <t>k</t>
    </r>
    <r>
      <rPr>
        <b/>
        <vertAlign val="subscript"/>
        <sz val="10"/>
        <color indexed="9"/>
        <rFont val="Arial"/>
        <family val="2"/>
      </rPr>
      <t>abs</t>
    </r>
  </si>
  <si>
    <r>
      <t>Turbulent surface area (A</t>
    </r>
    <r>
      <rPr>
        <vertAlign val="subscript"/>
        <sz val="10"/>
        <rFont val="Arial"/>
        <family val="2"/>
      </rPr>
      <t>T</t>
    </r>
    <r>
      <rPr>
        <sz val="10"/>
        <rFont val="Arial"/>
        <family val="2"/>
      </rPr>
      <t>)</t>
    </r>
  </si>
  <si>
    <t>Surface area (A)</t>
  </si>
  <si>
    <t>Temperature (T)</t>
  </si>
  <si>
    <t>Wastewater flow rate (Q)</t>
  </si>
  <si>
    <r>
      <t>Total power to aerators (P</t>
    </r>
    <r>
      <rPr>
        <vertAlign val="subscript"/>
        <sz val="10"/>
        <rFont val="Arial"/>
        <family val="2"/>
      </rPr>
      <t>tot</t>
    </r>
    <r>
      <rPr>
        <sz val="10"/>
        <rFont val="Arial"/>
        <family val="2"/>
      </rPr>
      <t>)</t>
    </r>
  </si>
  <si>
    <r>
      <t>Number of aerators (N</t>
    </r>
    <r>
      <rPr>
        <vertAlign val="subscript"/>
        <sz val="10"/>
        <rFont val="Arial"/>
        <family val="2"/>
      </rPr>
      <t>aer</t>
    </r>
    <r>
      <rPr>
        <sz val="10"/>
        <rFont val="Arial"/>
        <family val="2"/>
      </rPr>
      <t>)</t>
    </r>
  </si>
  <si>
    <t>CRITICAL INPUTS</t>
  </si>
  <si>
    <t>Wastewater discharge flow rate (Q)</t>
  </si>
  <si>
    <r>
      <t>POTW Wastewater flow rate (Q</t>
    </r>
    <r>
      <rPr>
        <vertAlign val="subscript"/>
        <sz val="10"/>
        <rFont val="Arial"/>
        <family val="2"/>
      </rPr>
      <t>POTW</t>
    </r>
    <r>
      <rPr>
        <sz val="10"/>
        <rFont val="Arial"/>
        <family val="2"/>
      </rPr>
      <t>)</t>
    </r>
  </si>
  <si>
    <r>
      <t>Total pressure (P</t>
    </r>
    <r>
      <rPr>
        <vertAlign val="subscript"/>
        <sz val="10"/>
        <rFont val="Arial"/>
        <family val="2"/>
      </rPr>
      <t>o</t>
    </r>
    <r>
      <rPr>
        <sz val="10"/>
        <rFont val="Arial"/>
        <family val="2"/>
      </rPr>
      <t>)</t>
    </r>
  </si>
  <si>
    <t>Wastewater depth (D)</t>
  </si>
  <si>
    <r>
      <t>Diffused air flow rate (Q</t>
    </r>
    <r>
      <rPr>
        <vertAlign val="subscript"/>
        <sz val="10"/>
        <rFont val="Arial"/>
        <family val="2"/>
      </rPr>
      <t>a</t>
    </r>
    <r>
      <rPr>
        <sz val="10"/>
        <rFont val="Arial"/>
        <family val="2"/>
      </rPr>
      <t>)</t>
    </r>
  </si>
  <si>
    <r>
      <t>Turbulent surface area (Va</t>
    </r>
    <r>
      <rPr>
        <vertAlign val="subscript"/>
        <sz val="10"/>
        <rFont val="Arial"/>
        <family val="2"/>
      </rPr>
      <t>v</t>
    </r>
    <r>
      <rPr>
        <sz val="10"/>
        <rFont val="Arial"/>
        <family val="2"/>
      </rPr>
      <t>), ft</t>
    </r>
    <r>
      <rPr>
        <vertAlign val="superscript"/>
        <sz val="10"/>
        <rFont val="Arial"/>
        <family val="2"/>
      </rPr>
      <t>2</t>
    </r>
  </si>
  <si>
    <r>
      <t>Quiescent surface area (AQ) [default=A-A</t>
    </r>
    <r>
      <rPr>
        <vertAlign val="subscript"/>
        <sz val="10"/>
        <rFont val="Arial"/>
        <family val="2"/>
      </rPr>
      <t>T</t>
    </r>
    <r>
      <rPr>
        <sz val="10"/>
        <rFont val="Arial"/>
        <family val="2"/>
      </rPr>
      <t>]</t>
    </r>
  </si>
  <si>
    <r>
      <t>Biological treatment unit volatile suspended solids (C</t>
    </r>
    <r>
      <rPr>
        <vertAlign val="subscript"/>
        <sz val="10"/>
        <rFont val="Arial"/>
        <family val="2"/>
      </rPr>
      <t>MLVSS</t>
    </r>
    <r>
      <rPr>
        <sz val="10"/>
        <rFont val="Arial"/>
        <family val="2"/>
      </rPr>
      <t>)</t>
    </r>
  </si>
  <si>
    <r>
      <t>Biological treatment unit suspended solids (C</t>
    </r>
    <r>
      <rPr>
        <vertAlign val="subscript"/>
        <sz val="10"/>
        <rFont val="Arial"/>
        <family val="2"/>
      </rPr>
      <t>MLSS</t>
    </r>
    <r>
      <rPr>
        <sz val="10"/>
        <rFont val="Arial"/>
        <family val="2"/>
      </rPr>
      <t>)</t>
    </r>
  </si>
  <si>
    <t>Diffused air volumetric flow rate (Qa)</t>
  </si>
  <si>
    <r>
      <t>Quiescent area (A</t>
    </r>
    <r>
      <rPr>
        <vertAlign val="subscript"/>
        <sz val="10"/>
        <rFont val="Arial"/>
        <family val="2"/>
      </rPr>
      <t>Q</t>
    </r>
    <r>
      <rPr>
        <sz val="10"/>
        <rFont val="Arial"/>
        <family val="2"/>
      </rPr>
      <t>) [default=A-A</t>
    </r>
    <r>
      <rPr>
        <vertAlign val="subscript"/>
        <sz val="10"/>
        <rFont val="Arial"/>
        <family val="2"/>
      </rPr>
      <t>T</t>
    </r>
    <r>
      <rPr>
        <sz val="10"/>
        <rFont val="Arial"/>
        <family val="2"/>
      </rPr>
      <t>]</t>
    </r>
  </si>
  <si>
    <r>
      <t>Turbulent area (A</t>
    </r>
    <r>
      <rPr>
        <vertAlign val="subscript"/>
        <sz val="10"/>
        <rFont val="Arial"/>
        <family val="2"/>
      </rPr>
      <t>T</t>
    </r>
    <r>
      <rPr>
        <sz val="10"/>
        <rFont val="Arial"/>
        <family val="2"/>
      </rPr>
      <t>)</t>
    </r>
  </si>
  <si>
    <r>
      <t>Quiescent surface area (A</t>
    </r>
    <r>
      <rPr>
        <vertAlign val="subscript"/>
        <sz val="10"/>
        <rFont val="Arial"/>
        <family val="2"/>
      </rPr>
      <t>Q</t>
    </r>
    <r>
      <rPr>
        <sz val="10"/>
        <rFont val="Arial"/>
        <family val="2"/>
      </rPr>
      <t>) [default=A-A</t>
    </r>
    <r>
      <rPr>
        <vertAlign val="subscript"/>
        <sz val="10"/>
        <rFont val="Arial"/>
        <family val="2"/>
      </rPr>
      <t>T</t>
    </r>
    <r>
      <rPr>
        <sz val="10"/>
        <rFont val="Arial"/>
        <family val="2"/>
      </rPr>
      <t>]</t>
    </r>
  </si>
  <si>
    <r>
      <t>Wasted sludge volumetric flow rate (Q</t>
    </r>
    <r>
      <rPr>
        <vertAlign val="subscript"/>
        <sz val="10"/>
        <rFont val="Arial"/>
        <family val="2"/>
      </rPr>
      <t>w</t>
    </r>
    <r>
      <rPr>
        <sz val="10"/>
        <rFont val="Arial"/>
        <family val="2"/>
      </rPr>
      <t>)</t>
    </r>
  </si>
  <si>
    <r>
      <t>Diffusivity of oxygen in water, D</t>
    </r>
    <r>
      <rPr>
        <vertAlign val="subscript"/>
        <sz val="10"/>
        <rFont val="Arial"/>
        <family val="2"/>
      </rPr>
      <t>O2,w</t>
    </r>
  </si>
  <si>
    <t>Wastewater flow rate, Q</t>
  </si>
  <si>
    <t>Weir height, h</t>
  </si>
  <si>
    <r>
      <t>cm</t>
    </r>
    <r>
      <rPr>
        <vertAlign val="superscript"/>
        <sz val="10"/>
        <rFont val="Arial"/>
        <family val="2"/>
      </rPr>
      <t>2</t>
    </r>
    <r>
      <rPr>
        <sz val="10"/>
        <rFont val="Arial"/>
        <family val="2"/>
      </rPr>
      <t>/s</t>
    </r>
  </si>
  <si>
    <t xml:space="preserve">                                                                                                                                                                                                                                                                                                                                                                                                                                                                                                                            </t>
  </si>
  <si>
    <r>
      <t>Influent 5-day biochemcial oxygen demand concentration (C</t>
    </r>
    <r>
      <rPr>
        <vertAlign val="subscript"/>
        <sz val="10"/>
        <rFont val="Arial"/>
        <family val="2"/>
      </rPr>
      <t>BOD5,i</t>
    </r>
    <r>
      <rPr>
        <sz val="10"/>
        <rFont val="Arial"/>
        <family val="2"/>
      </rPr>
      <t>)</t>
    </r>
  </si>
  <si>
    <t>Biomass volatile suspend solids yield from influent BOD (Y)</t>
  </si>
  <si>
    <t>g VSS/g BOD</t>
  </si>
  <si>
    <t>a1</t>
  </si>
  <si>
    <t>b1</t>
  </si>
  <si>
    <t>c1</t>
  </si>
  <si>
    <t>Pollutant</t>
  </si>
  <si>
    <t>% Load air emitted</t>
  </si>
  <si>
    <t>Influent load, g/s</t>
  </si>
  <si>
    <t>Effluent load, g/s</t>
  </si>
  <si>
    <t>Air emission load, g/s</t>
  </si>
  <si>
    <t>% Load with effluent</t>
  </si>
  <si>
    <t>QUALITY CONTROL CHECKS</t>
  </si>
  <si>
    <t>Collection System</t>
  </si>
  <si>
    <t>Air Emissions</t>
  </si>
  <si>
    <r>
      <t>atm-m</t>
    </r>
    <r>
      <rPr>
        <vertAlign val="superscript"/>
        <sz val="10"/>
        <rFont val="Arial"/>
        <family val="2"/>
      </rPr>
      <t>3</t>
    </r>
    <r>
      <rPr>
        <sz val="10"/>
        <rFont val="Arial"/>
        <family val="2"/>
      </rPr>
      <t>/gmol-K</t>
    </r>
  </si>
  <si>
    <r>
      <t>Viscosity of air (</t>
    </r>
    <r>
      <rPr>
        <sz val="10"/>
        <rFont val="Symbol"/>
        <family val="1"/>
        <charset val="2"/>
      </rPr>
      <t>m</t>
    </r>
    <r>
      <rPr>
        <vertAlign val="subscript"/>
        <sz val="10"/>
        <rFont val="Arial"/>
        <family val="2"/>
      </rPr>
      <t>a</t>
    </r>
    <r>
      <rPr>
        <sz val="10"/>
        <rFont val="Arial"/>
        <family val="2"/>
      </rPr>
      <t>)</t>
    </r>
  </si>
  <si>
    <r>
      <t>Viscosity of water (</t>
    </r>
    <r>
      <rPr>
        <sz val="10"/>
        <rFont val="Symbol"/>
        <family val="1"/>
        <charset val="2"/>
      </rPr>
      <t>m</t>
    </r>
    <r>
      <rPr>
        <vertAlign val="subscript"/>
        <sz val="10"/>
        <rFont val="Arial"/>
        <family val="2"/>
      </rPr>
      <t>L</t>
    </r>
    <r>
      <rPr>
        <sz val="10"/>
        <rFont val="Arial"/>
        <family val="2"/>
      </rPr>
      <t>)</t>
    </r>
  </si>
  <si>
    <r>
      <t>WAS VSS, g/m</t>
    </r>
    <r>
      <rPr>
        <vertAlign val="superscript"/>
        <sz val="10"/>
        <rFont val="Arial"/>
        <family val="2"/>
      </rPr>
      <t>3</t>
    </r>
  </si>
  <si>
    <r>
      <t>Wasted sludge volatile suspended solids (C</t>
    </r>
    <r>
      <rPr>
        <vertAlign val="subscript"/>
        <sz val="10"/>
        <rFont val="Arial"/>
        <family val="2"/>
      </rPr>
      <t>WAS,VSS</t>
    </r>
    <r>
      <rPr>
        <sz val="10"/>
        <rFont val="Arial"/>
        <family val="2"/>
      </rPr>
      <t>)</t>
    </r>
  </si>
  <si>
    <t>f</t>
  </si>
  <si>
    <r>
      <t>lb/in</t>
    </r>
    <r>
      <rPr>
        <vertAlign val="superscript"/>
        <sz val="10"/>
        <rFont val="Arial"/>
        <family val="2"/>
      </rPr>
      <t>2</t>
    </r>
  </si>
  <si>
    <r>
      <t>Blower gauge pressure (P</t>
    </r>
    <r>
      <rPr>
        <vertAlign val="subscript"/>
        <sz val="10"/>
        <rFont val="Arial"/>
        <family val="2"/>
      </rPr>
      <t>g</t>
    </r>
    <r>
      <rPr>
        <sz val="10"/>
        <rFont val="Arial"/>
        <family val="2"/>
      </rPr>
      <t>)</t>
    </r>
  </si>
  <si>
    <r>
      <t>Average volumetric air flow rate, m</t>
    </r>
    <r>
      <rPr>
        <vertAlign val="superscript"/>
        <sz val="10"/>
        <rFont val="Arial"/>
        <family val="2"/>
      </rPr>
      <t>3</t>
    </r>
    <r>
      <rPr>
        <sz val="10"/>
        <rFont val="Arial"/>
        <family val="2"/>
      </rPr>
      <t>/s</t>
    </r>
  </si>
  <si>
    <r>
      <t>a, m</t>
    </r>
    <r>
      <rPr>
        <vertAlign val="superscript"/>
        <sz val="10"/>
        <rFont val="Arial"/>
        <family val="2"/>
      </rPr>
      <t>-1</t>
    </r>
  </si>
  <si>
    <r>
      <t>NH</t>
    </r>
    <r>
      <rPr>
        <vertAlign val="subscript"/>
        <sz val="10"/>
        <rFont val="Arial"/>
        <family val="2"/>
      </rPr>
      <t>3</t>
    </r>
    <r>
      <rPr>
        <sz val="10"/>
        <rFont val="Arial"/>
        <family val="2"/>
      </rPr>
      <t xml:space="preserve"> K</t>
    </r>
    <r>
      <rPr>
        <vertAlign val="subscript"/>
        <sz val="10"/>
        <rFont val="Arial"/>
        <family val="2"/>
      </rPr>
      <t>L</t>
    </r>
    <r>
      <rPr>
        <sz val="10"/>
        <rFont val="Arial"/>
        <family val="2"/>
      </rPr>
      <t>a, s</t>
    </r>
    <r>
      <rPr>
        <vertAlign val="superscript"/>
        <sz val="10"/>
        <rFont val="Arial"/>
        <family val="2"/>
      </rPr>
      <t>-1</t>
    </r>
  </si>
  <si>
    <r>
      <t>NH3 K</t>
    </r>
    <r>
      <rPr>
        <vertAlign val="subscript"/>
        <sz val="10"/>
        <rFont val="Arial"/>
        <family val="2"/>
      </rPr>
      <t>L</t>
    </r>
    <r>
      <rPr>
        <sz val="10"/>
        <rFont val="Arial"/>
        <family val="2"/>
      </rPr>
      <t>, m/s</t>
    </r>
  </si>
  <si>
    <t>Calculated</t>
  </si>
  <si>
    <t>Absorbed load, g/s</t>
  </si>
  <si>
    <t>% Load absorbed</t>
  </si>
  <si>
    <t>Biodegradation rate, g/s</t>
  </si>
  <si>
    <t>% Biodegraded</t>
  </si>
  <si>
    <t>Mass balance Check</t>
  </si>
  <si>
    <t>Mass balance check</t>
  </si>
  <si>
    <t>Length of weir, l</t>
  </si>
  <si>
    <t>Tail water depth, z</t>
  </si>
  <si>
    <t>ln( r)</t>
  </si>
  <si>
    <t>q</t>
  </si>
  <si>
    <t>Ko</t>
  </si>
  <si>
    <r>
      <t>k</t>
    </r>
    <r>
      <rPr>
        <b/>
        <vertAlign val="subscript"/>
        <sz val="10"/>
        <color theme="0"/>
        <rFont val="Arial"/>
        <family val="2"/>
      </rPr>
      <t>l</t>
    </r>
  </si>
  <si>
    <r>
      <t>k</t>
    </r>
    <r>
      <rPr>
        <b/>
        <vertAlign val="subscript"/>
        <sz val="10"/>
        <color theme="0"/>
        <rFont val="Arial"/>
        <family val="2"/>
      </rPr>
      <t>g</t>
    </r>
  </si>
  <si>
    <t>fair</t>
  </si>
  <si>
    <t>kl Pincince</t>
  </si>
  <si>
    <t>Ko Pincince</t>
  </si>
  <si>
    <t>fair Pincince</t>
  </si>
  <si>
    <t>Emissions, Pincince</t>
  </si>
  <si>
    <t>Total Emissions</t>
  </si>
  <si>
    <t>fe, Drains</t>
  </si>
  <si>
    <t>fe, Trenches</t>
  </si>
  <si>
    <t>fe, Manholes</t>
  </si>
  <si>
    <t>fe, Junction Boxes</t>
  </si>
  <si>
    <t>fe, Lift Stations</t>
  </si>
  <si>
    <t>fe, Sumps</t>
  </si>
  <si>
    <t>Collection System Component</t>
  </si>
  <si>
    <t>POG Concentration</t>
  </si>
  <si>
    <t>Units</t>
  </si>
  <si>
    <t>Linear meters of open trench</t>
  </si>
  <si>
    <t>Process Drainage Area #1</t>
  </si>
  <si>
    <t>Process Drainage Area #2</t>
  </si>
  <si>
    <t>Process Drainage Area #3</t>
  </si>
  <si>
    <t>Process Drainage Area #4</t>
  </si>
  <si>
    <t>Process Drainage Area #5</t>
  </si>
  <si>
    <t>Process Drainage Area #6</t>
  </si>
  <si>
    <t>Process Drainage Area #7</t>
  </si>
  <si>
    <t>Process Drainage Area #8</t>
  </si>
  <si>
    <t>Process Drainage Area #9</t>
  </si>
  <si>
    <t>Process Drainage Area #10</t>
  </si>
  <si>
    <t>Process Drainage Area #11</t>
  </si>
  <si>
    <t>Process Drainage Area #12</t>
  </si>
  <si>
    <t>Process Drainage Area #13</t>
  </si>
  <si>
    <t>Process Drainage Area #14</t>
  </si>
  <si>
    <t>Process Drainage Area #15</t>
  </si>
  <si>
    <t>Process Drainage Area #16</t>
  </si>
  <si>
    <t>Process Drainage Area #17</t>
  </si>
  <si>
    <t>Process Drainage Area #18</t>
  </si>
  <si>
    <t>Process Drainage Area #19</t>
  </si>
  <si>
    <t>Process Drainage Area #20</t>
  </si>
  <si>
    <t>Manhole seal</t>
  </si>
  <si>
    <t>Number of sealed manholes</t>
  </si>
  <si>
    <t>fe, Sealed Drains</t>
  </si>
  <si>
    <t>fe, Sealed Manholes</t>
  </si>
  <si>
    <t>fe, Controlled Junction Boxes</t>
  </si>
  <si>
    <t>fe, Controlled Lift Stations</t>
  </si>
  <si>
    <t>fe, Controlled Sumps</t>
  </si>
  <si>
    <t>Collection System Component Air Emissions Control</t>
  </si>
  <si>
    <t>Control Efficiency, %</t>
  </si>
  <si>
    <t>Default Control Efficiency, %</t>
  </si>
  <si>
    <t>Number of sealed drains</t>
  </si>
  <si>
    <t>Number of uncontrolled drains</t>
  </si>
  <si>
    <t>Number of uncontrolled manholes</t>
  </si>
  <si>
    <t>Number of controlled junction boxes</t>
  </si>
  <si>
    <t>Number of uncontrolled junction boxes</t>
  </si>
  <si>
    <t>Number of uncontrolled lift stations</t>
  </si>
  <si>
    <t>Number of controlled lift stations</t>
  </si>
  <si>
    <t>Number of controlled sumps</t>
  </si>
  <si>
    <t>Number of uncontrolled sumps</t>
  </si>
  <si>
    <t>Drain water seal</t>
  </si>
  <si>
    <t>Junction box water seal</t>
  </si>
  <si>
    <t>Lift station control (e.g., carbon adsportion)</t>
  </si>
  <si>
    <t>Sump control (e.g., carbon adsorption)</t>
  </si>
  <si>
    <t>UNCONTROLLED AIR EMISSIONS</t>
  </si>
  <si>
    <t>OUTPUTS</t>
  </si>
  <si>
    <t>Collection System Effluent Concentration</t>
  </si>
  <si>
    <t>POG Total Load</t>
  </si>
  <si>
    <t>(Nakasone)</t>
  </si>
  <si>
    <t>(Pincince)</t>
  </si>
  <si>
    <t>ln( r)*</t>
  </si>
  <si>
    <r>
      <t xml:space="preserve">Each sheet is set-up with a series of </t>
    </r>
    <r>
      <rPr>
        <b/>
        <sz val="12"/>
        <rFont val="Times New Roman"/>
        <family val="1"/>
      </rPr>
      <t>critical inputs</t>
    </r>
    <r>
      <rPr>
        <sz val="12"/>
        <rFont val="Times New Roman"/>
        <family val="1"/>
      </rPr>
      <t xml:space="preserve">, </t>
    </r>
    <r>
      <rPr>
        <b/>
        <sz val="12"/>
        <rFont val="Times New Roman"/>
        <family val="1"/>
      </rPr>
      <t>constants/variables</t>
    </r>
    <r>
      <rPr>
        <sz val="12"/>
        <rFont val="Times New Roman"/>
        <family val="1"/>
      </rPr>
      <t xml:space="preserve"> with default values, and </t>
    </r>
    <r>
      <rPr>
        <b/>
        <sz val="12"/>
        <rFont val="Times New Roman"/>
        <family val="1"/>
      </rPr>
      <t>outputs</t>
    </r>
    <r>
      <rPr>
        <sz val="12"/>
        <rFont val="Times New Roman"/>
        <family val="1"/>
      </rPr>
      <t>. The following procedure should be used to reliably use RWET:</t>
    </r>
  </si>
  <si>
    <t>Butane (VOC Surrogate)</t>
  </si>
  <si>
    <t>n-Butane (VOC Surrogate)</t>
  </si>
  <si>
    <r>
      <t>1.</t>
    </r>
    <r>
      <rPr>
        <sz val="7"/>
        <rFont val="Times New Roman"/>
        <family val="1"/>
      </rPr>
      <t xml:space="preserve">      </t>
    </r>
    <r>
      <rPr>
        <sz val="12"/>
        <rFont val="Times New Roman"/>
        <family val="1"/>
      </rPr>
      <t>Determine the critical inputs of the unit listed on the corresponding sheet of RWET and record them on appropriate sheet.</t>
    </r>
  </si>
  <si>
    <r>
      <t>2.</t>
    </r>
    <r>
      <rPr>
        <sz val="7"/>
        <rFont val="Times New Roman"/>
        <family val="1"/>
      </rPr>
      <t xml:space="preserve">      </t>
    </r>
    <r>
      <rPr>
        <sz val="12"/>
        <rFont val="Times New Roman"/>
        <family val="1"/>
      </rPr>
      <t>Determine the influent concentrations of the pollutants of interest and input them into the model.</t>
    </r>
  </si>
  <si>
    <r>
      <t>3.</t>
    </r>
    <r>
      <rPr>
        <sz val="7"/>
        <rFont val="Times New Roman"/>
        <family val="1"/>
      </rPr>
      <t xml:space="preserve">      </t>
    </r>
    <r>
      <rPr>
        <sz val="12"/>
        <rFont val="Times New Roman"/>
        <family val="1"/>
      </rPr>
      <t>Review the default values of the variables and constants and make site-specific adjustments if necessary.</t>
    </r>
  </si>
  <si>
    <r>
      <t>4.</t>
    </r>
    <r>
      <rPr>
        <sz val="7"/>
        <rFont val="Times New Roman"/>
        <family val="1"/>
      </rPr>
      <t xml:space="preserve">      </t>
    </r>
    <r>
      <rPr>
        <sz val="12"/>
        <rFont val="Times New Roman"/>
        <family val="1"/>
      </rPr>
      <t>Review the chemical properties sheet and make any site-specific adjustments if necessary.</t>
    </r>
  </si>
  <si>
    <r>
      <t>5.</t>
    </r>
    <r>
      <rPr>
        <sz val="7"/>
        <rFont val="Times New Roman"/>
        <family val="1"/>
      </rPr>
      <t xml:space="preserve">      </t>
    </r>
    <r>
      <rPr>
        <sz val="12"/>
        <rFont val="Times New Roman"/>
        <family val="1"/>
      </rPr>
      <t>Record the air emissions for reporting and copy the pollutant effluent concentrations as inputs to the next downstream unit.</t>
    </r>
  </si>
  <si>
    <r>
      <t>6.</t>
    </r>
    <r>
      <rPr>
        <sz val="7"/>
        <rFont val="Times New Roman"/>
        <family val="1"/>
      </rPr>
      <t xml:space="preserve">      </t>
    </r>
    <r>
      <rPr>
        <sz val="12"/>
        <rFont val="Times New Roman"/>
        <family val="1"/>
      </rPr>
      <t>Repeat this process for the next downstream unit.</t>
    </r>
  </si>
  <si>
    <r>
      <rPr>
        <b/>
        <sz val="10"/>
        <rFont val="Arial"/>
        <family val="2"/>
      </rPr>
      <t>This sheet is used for facilities that discharge wastewater to a POTW only</t>
    </r>
    <r>
      <rPr>
        <sz val="10"/>
        <rFont val="Arial"/>
        <family val="2"/>
      </rPr>
      <t xml:space="preserve">. Directions: 1) Input (yellow boxes) facility wastewater flow rate and flow rate at the POTW; 2) Input (yellow boxes) constituent concentrations in the facility wastewater.  The outputs (green boxes) are the pollutant concentration after dilution in the POTW wastewater. The treatment units of the POTW are then used to estimate air emissions using RWET. </t>
    </r>
  </si>
  <si>
    <r>
      <t>This sheet is used for wastewater collection systems</t>
    </r>
    <r>
      <rPr>
        <sz val="10"/>
        <rFont val="Arial"/>
        <family val="2"/>
      </rPr>
      <t>.  Directions: 1) input the number of collection system components for each process drainage area; 2) input the process drainage area point-of-generation concentrations and flow rate (yellow boxes); 3) review the default air emissions control efficiencies and change if necessary; and 4) record the collection system air emissions and wastewater concentrations for downstream process units air emissions calculations (green boxes).</t>
    </r>
  </si>
  <si>
    <r>
      <t>This sheet is used for uncovered oil-water separators only</t>
    </r>
    <r>
      <rPr>
        <sz val="10"/>
        <rFont val="Arial"/>
        <family val="2"/>
      </rPr>
      <t>.  Directions: 1) fill-in the input data (yellow boxes); review default variables and constant (yellow boxes) and change if necessary; 2) record air emissions (green boxes); and 3) record effluent concentrations (light blue boxes) for downstream process unit emission calculations.</t>
    </r>
  </si>
  <si>
    <r>
      <t>This sheet is used for uncovered primary weirs and uncovered weirs of oil-water separators</t>
    </r>
    <r>
      <rPr>
        <sz val="10"/>
        <rFont val="Arial"/>
        <family val="2"/>
      </rPr>
      <t>.  Directions: 1) fill-in the input data (yellow boxes); review default variables and constant (yellow boxes) and change if necessary; 2) record air emissions (green boxes); and 3) record effluent concentrations (light blue boxes) for downstream process unit emission calculations.</t>
    </r>
  </si>
  <si>
    <r>
      <t>This sheet is used for uncovered dissolved air floatation (DAF) units only</t>
    </r>
    <r>
      <rPr>
        <sz val="10"/>
        <rFont val="Arial"/>
        <family val="2"/>
      </rPr>
      <t>.  Directions: 1) fill-in the input data (yellow boxes); review default variables and constant (yellow boxes) and change if necessary; 2) record air emissions (green boxes); and 3) record effluent concentrations (light blue boxes) for downstream process unit emission calculations.</t>
    </r>
  </si>
  <si>
    <r>
      <t>This sheet is used for uncovered equalization tanks only</t>
    </r>
    <r>
      <rPr>
        <sz val="10"/>
        <rFont val="Arial"/>
        <family val="2"/>
      </rPr>
      <t>.  Directions: 1) fill-in the input data (yellow boxes); review default variables and constant (yellow boxes) and change if necessary; 2) record air emissions (green boxes); and 3) record effluent concentrations (light blue boxes) for downstream process unit emission calculations.</t>
    </r>
  </si>
  <si>
    <r>
      <t>This sheet is used for uncovered biological treatment units with diffused aeration only</t>
    </r>
    <r>
      <rPr>
        <sz val="10"/>
        <rFont val="Arial"/>
        <family val="2"/>
      </rPr>
      <t>.  Directions: 1) fill-in the input data (yellow boxes); review default variables and constant (yellow boxes) and change if necessary; 2) record air emissions (green boxes); and 3) record effluent concentrations (light blue boxes) for downstream process unit emission calculations.</t>
    </r>
  </si>
  <si>
    <r>
      <t>This sheet is used for biological treatment units with mechanical aeration only</t>
    </r>
    <r>
      <rPr>
        <sz val="10"/>
        <rFont val="Arial"/>
        <family val="2"/>
      </rPr>
      <t>.  Directions: 1) fill-in the input data (yellow boxes); review default variables and constant (yellow boxes) and change if necessary; 2) record air emissions (green boxes); and 3) record effluent concentrations (light blue boxes) for downstream process unit emission calculations.</t>
    </r>
  </si>
  <si>
    <t>The Refinery Wastewater Emissions Tool Version 1.0 (RWET) is an Excel-based model designed to help regulated facilities estimate air emissions from wastewater collection and treatment systems. Separate sheets in RWET represent individual components in a typical wastewater treatment system and can estimate emissions for that particular unit. Effluent concentrations from a particular component can then be used as inputs for the next downstream collection or treatment unit. The calculations are primarily based on those presented in EPA AP-42 but also include updates deemed more accurate in the literature. The equations are presented in Appendix B of the emission protocol document.</t>
  </si>
  <si>
    <t>minWindSpd</t>
  </si>
  <si>
    <t>REFINERY WASTEWATER EMISSION TOOL:  ICR VERSION 2.1 (RWETv2.1)</t>
  </si>
  <si>
    <t>Predicted BOD Removal Effic.</t>
  </si>
  <si>
    <r>
      <t>This sheet is used for uncovered quiescent tanks and surface impoundments only</t>
    </r>
    <r>
      <rPr>
        <sz val="10"/>
        <rFont val="Arial"/>
        <family val="2"/>
      </rPr>
      <t>.  Directions: 1) fill-in the input data (yellow boxes); review default variables and constant (yellow boxes) and change if necessary; 2) record air emissions (green boxes); and 3) record effluent concentrations (light blue boxes) for downstream process unit emission calculations.</t>
    </r>
  </si>
  <si>
    <r>
      <t>Note:  Set C</t>
    </r>
    <r>
      <rPr>
        <vertAlign val="subscript"/>
        <sz val="10"/>
        <color rgb="FFFF0000"/>
        <rFont val="Arial"/>
        <family val="2"/>
      </rPr>
      <t>MLVSS</t>
    </r>
    <r>
      <rPr>
        <sz val="10"/>
        <color rgb="FFFF0000"/>
        <rFont val="Arial"/>
        <family val="2"/>
      </rPr>
      <t xml:space="preserve"> = 0 for a non-biologically active unit</t>
    </r>
  </si>
</sst>
</file>

<file path=xl/styles.xml><?xml version="1.0" encoding="utf-8"?>
<styleSheet xmlns="http://schemas.openxmlformats.org/spreadsheetml/2006/main">
  <numFmts count="11">
    <numFmt numFmtId="164" formatCode="0.0000"/>
    <numFmt numFmtId="165" formatCode="0.0"/>
    <numFmt numFmtId="166" formatCode="0.000"/>
    <numFmt numFmtId="167" formatCode="0.00000"/>
    <numFmt numFmtId="168" formatCode="0.0E+00"/>
    <numFmt numFmtId="169" formatCode="General_)"/>
    <numFmt numFmtId="170" formatCode="0.0000000"/>
    <numFmt numFmtId="171" formatCode="0.00000000"/>
    <numFmt numFmtId="172" formatCode="0.000E+00"/>
    <numFmt numFmtId="173" formatCode="0.000000"/>
    <numFmt numFmtId="174" formatCode="0.0000E+00"/>
  </numFmts>
  <fonts count="30">
    <font>
      <sz val="10"/>
      <name val="Arial"/>
    </font>
    <font>
      <sz val="10"/>
      <name val="Arial"/>
      <family val="2"/>
    </font>
    <font>
      <vertAlign val="subscript"/>
      <sz val="10"/>
      <name val="Arial"/>
      <family val="2"/>
    </font>
    <font>
      <vertAlign val="superscript"/>
      <sz val="10"/>
      <name val="Arial"/>
      <family val="2"/>
    </font>
    <font>
      <b/>
      <sz val="10"/>
      <name val="Arial"/>
      <family val="2"/>
    </font>
    <font>
      <sz val="8"/>
      <name val="Arial"/>
      <family val="2"/>
    </font>
    <font>
      <sz val="8"/>
      <name val="Helvetica"/>
      <family val="2"/>
    </font>
    <font>
      <sz val="10"/>
      <name val="MS Sans Serif"/>
      <family val="2"/>
    </font>
    <font>
      <sz val="8"/>
      <name val="Helvetica"/>
      <family val="2"/>
    </font>
    <font>
      <b/>
      <sz val="8"/>
      <color indexed="9"/>
      <name val="Arial"/>
      <family val="2"/>
    </font>
    <font>
      <i/>
      <sz val="8"/>
      <name val="Helvetica"/>
      <family val="2"/>
    </font>
    <font>
      <b/>
      <sz val="14"/>
      <name val="Helvetica"/>
      <family val="2"/>
    </font>
    <font>
      <b/>
      <sz val="10"/>
      <color indexed="9"/>
      <name val="Arial"/>
      <family val="2"/>
    </font>
    <font>
      <b/>
      <vertAlign val="subscript"/>
      <sz val="10"/>
      <color indexed="9"/>
      <name val="Arial"/>
      <family val="2"/>
    </font>
    <font>
      <b/>
      <vertAlign val="superscript"/>
      <sz val="10"/>
      <color indexed="9"/>
      <name val="Arial"/>
      <family val="2"/>
    </font>
    <font>
      <sz val="12"/>
      <name val="Times New Roman"/>
      <family val="1"/>
    </font>
    <font>
      <b/>
      <sz val="12"/>
      <name val="Times New Roman"/>
      <family val="1"/>
    </font>
    <font>
      <sz val="7"/>
      <name val="Times New Roman"/>
      <family val="1"/>
    </font>
    <font>
      <sz val="10"/>
      <name val="Symbol"/>
      <family val="1"/>
      <charset val="2"/>
    </font>
    <font>
      <b/>
      <sz val="8"/>
      <name val="Helvetica"/>
      <family val="2"/>
    </font>
    <font>
      <sz val="8"/>
      <color theme="3"/>
      <name val="Helvetica"/>
      <family val="2"/>
    </font>
    <font>
      <b/>
      <sz val="10"/>
      <color theme="0"/>
      <name val="Arial"/>
      <family val="2"/>
    </font>
    <font>
      <sz val="10"/>
      <color theme="0"/>
      <name val="Arial"/>
      <family val="2"/>
    </font>
    <font>
      <sz val="11"/>
      <color rgb="FFFFFFFF"/>
      <name val="Calibri"/>
      <family val="2"/>
    </font>
    <font>
      <b/>
      <sz val="26"/>
      <color theme="4"/>
      <name val="Arial"/>
      <family val="2"/>
    </font>
    <font>
      <b/>
      <vertAlign val="subscript"/>
      <sz val="10"/>
      <color theme="0"/>
      <name val="Arial"/>
      <family val="2"/>
    </font>
    <font>
      <b/>
      <sz val="16"/>
      <name val="Helvetica"/>
      <family val="2"/>
    </font>
    <font>
      <sz val="10"/>
      <color rgb="FFFF0000"/>
      <name val="Arial"/>
      <family val="2"/>
    </font>
    <font>
      <sz val="10"/>
      <color theme="1"/>
      <name val="Arial"/>
      <family val="2"/>
    </font>
    <font>
      <vertAlign val="subscript"/>
      <sz val="10"/>
      <color rgb="FFFF0000"/>
      <name val="Arial"/>
      <family val="2"/>
    </font>
  </fonts>
  <fills count="33">
    <fill>
      <patternFill patternType="none"/>
    </fill>
    <fill>
      <patternFill patternType="gray125"/>
    </fill>
    <fill>
      <patternFill patternType="solid">
        <fgColor indexed="13"/>
        <bgColor indexed="64"/>
      </patternFill>
    </fill>
    <fill>
      <patternFill patternType="solid">
        <fgColor indexed="1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39997558519241921"/>
        <bgColor indexed="64"/>
      </patternFill>
    </fill>
    <fill>
      <patternFill patternType="solid">
        <fgColor theme="4"/>
        <bgColor indexed="64"/>
      </patternFill>
    </fill>
    <fill>
      <patternFill patternType="solid">
        <fgColor theme="0"/>
        <bgColor indexed="64"/>
      </patternFill>
    </fill>
    <fill>
      <patternFill patternType="solid">
        <fgColor indexed="65"/>
        <bgColor theme="0"/>
      </patternFill>
    </fill>
    <fill>
      <patternFill patternType="solid">
        <fgColor theme="0"/>
        <bgColor theme="0"/>
      </patternFill>
    </fill>
    <fill>
      <patternFill patternType="solid">
        <fgColor theme="6"/>
        <bgColor theme="0"/>
      </patternFill>
    </fill>
    <fill>
      <patternFill patternType="solid">
        <fgColor indexed="12"/>
        <bgColor theme="0"/>
      </patternFill>
    </fill>
    <fill>
      <patternFill patternType="solid">
        <fgColor indexed="34"/>
        <bgColor theme="0"/>
      </patternFill>
    </fill>
    <fill>
      <patternFill patternType="solid">
        <fgColor indexed="13"/>
        <bgColor theme="0"/>
      </patternFill>
    </fill>
    <fill>
      <patternFill patternType="solid">
        <fgColor indexed="41"/>
        <bgColor theme="0"/>
      </patternFill>
    </fill>
    <fill>
      <patternFill patternType="solid">
        <fgColor rgb="FFFFFF00"/>
        <bgColor theme="0"/>
      </patternFill>
    </fill>
    <fill>
      <patternFill patternType="solid">
        <fgColor indexed="11"/>
        <bgColor theme="0"/>
      </patternFill>
    </fill>
    <fill>
      <patternFill patternType="solid">
        <fgColor theme="8" tint="0.59999389629810485"/>
        <bgColor theme="0"/>
      </patternFill>
    </fill>
    <fill>
      <patternFill patternType="solid">
        <fgColor theme="3" tint="0.59999389629810485"/>
        <bgColor theme="0"/>
      </patternFill>
    </fill>
    <fill>
      <patternFill patternType="solid">
        <fgColor rgb="FF00B0F0"/>
        <bgColor theme="0"/>
      </patternFill>
    </fill>
    <fill>
      <patternFill patternType="solid">
        <fgColor rgb="FF002060"/>
        <bgColor theme="0"/>
      </patternFill>
    </fill>
    <fill>
      <patternFill patternType="solid">
        <fgColor rgb="FF92D050"/>
        <bgColor indexed="64"/>
      </patternFill>
    </fill>
    <fill>
      <patternFill patternType="solid">
        <fgColor indexed="40"/>
        <bgColor theme="0"/>
      </patternFill>
    </fill>
    <fill>
      <patternFill patternType="solid">
        <fgColor rgb="FFFFFF00"/>
        <bgColor indexed="64"/>
      </patternFill>
    </fill>
    <fill>
      <patternFill patternType="solid">
        <fgColor rgb="FF00B050"/>
        <bgColor theme="0"/>
      </patternFill>
    </fill>
    <fill>
      <patternFill patternType="solid">
        <fgColor rgb="FFC00000"/>
        <bgColor theme="0"/>
      </patternFill>
    </fill>
    <fill>
      <patternFill patternType="solid">
        <fgColor rgb="FFFF0000"/>
        <bgColor theme="0"/>
      </patternFill>
    </fill>
    <fill>
      <patternFill patternType="solid">
        <fgColor theme="9"/>
        <bgColor theme="0"/>
      </patternFill>
    </fill>
    <fill>
      <patternFill patternType="solid">
        <fgColor rgb="FF0000FF"/>
        <bgColor theme="0"/>
      </patternFill>
    </fill>
    <fill>
      <patternFill patternType="darkGray">
        <fgColor theme="0"/>
      </patternFill>
    </fill>
    <fill>
      <patternFill patternType="solid">
        <fgColor rgb="FF92D050"/>
        <bgColor theme="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7" fillId="0" borderId="0"/>
  </cellStyleXfs>
  <cellXfs count="306">
    <xf numFmtId="0" fontId="0" fillId="0" borderId="0" xfId="0"/>
    <xf numFmtId="0" fontId="6" fillId="0" borderId="0" xfId="1" applyFont="1"/>
    <xf numFmtId="0" fontId="6" fillId="0" borderId="0" xfId="1" applyFont="1" applyBorder="1" applyAlignment="1">
      <alignment horizontal="left" wrapText="1"/>
    </xf>
    <xf numFmtId="168" fontId="6" fillId="0" borderId="0" xfId="1" applyNumberFormat="1" applyFont="1" applyBorder="1" applyAlignment="1">
      <alignment horizontal="center"/>
    </xf>
    <xf numFmtId="2" fontId="8" fillId="0" borderId="0" xfId="1" applyNumberFormat="1" applyFont="1" applyBorder="1" applyAlignment="1">
      <alignment horizontal="center"/>
    </xf>
    <xf numFmtId="11" fontId="6" fillId="0" borderId="0" xfId="1" applyNumberFormat="1" applyFont="1" applyBorder="1" applyAlignment="1">
      <alignment horizontal="center"/>
    </xf>
    <xf numFmtId="169" fontId="6" fillId="0" borderId="0" xfId="1" applyNumberFormat="1" applyFont="1" applyProtection="1"/>
    <xf numFmtId="11" fontId="8" fillId="0" borderId="0" xfId="1" applyNumberFormat="1" applyFont="1" applyFill="1" applyBorder="1" applyAlignment="1">
      <alignment horizontal="center" vertical="center"/>
    </xf>
    <xf numFmtId="2" fontId="6" fillId="0" borderId="0" xfId="1" applyNumberFormat="1" applyFont="1"/>
    <xf numFmtId="0" fontId="6" fillId="0" borderId="1" xfId="1" applyFont="1" applyBorder="1"/>
    <xf numFmtId="0" fontId="6" fillId="0" borderId="1" xfId="1" applyFont="1" applyBorder="1" applyAlignment="1">
      <alignment wrapText="1"/>
    </xf>
    <xf numFmtId="2" fontId="8" fillId="0" borderId="1" xfId="1" applyNumberFormat="1" applyFont="1" applyBorder="1" applyAlignment="1">
      <alignment horizontal="center"/>
    </xf>
    <xf numFmtId="11" fontId="6" fillId="0" borderId="1" xfId="1" applyNumberFormat="1" applyFont="1" applyBorder="1" applyAlignment="1">
      <alignment horizontal="center"/>
    </xf>
    <xf numFmtId="168" fontId="6" fillId="0" borderId="1" xfId="1" applyNumberFormat="1" applyFont="1" applyBorder="1" applyAlignment="1">
      <alignment horizontal="center"/>
    </xf>
    <xf numFmtId="0" fontId="6" fillId="0" borderId="1" xfId="1" applyFont="1" applyBorder="1" applyAlignment="1">
      <alignment horizontal="center"/>
    </xf>
    <xf numFmtId="169" fontId="6" fillId="0" borderId="1" xfId="1" applyNumberFormat="1" applyFont="1" applyBorder="1" applyAlignment="1" applyProtection="1">
      <alignment horizontal="center"/>
    </xf>
    <xf numFmtId="11" fontId="8" fillId="0" borderId="1" xfId="1" applyNumberFormat="1" applyFont="1" applyFill="1" applyBorder="1" applyAlignment="1">
      <alignment horizontal="center" vertical="center"/>
    </xf>
    <xf numFmtId="0" fontId="6" fillId="0" borderId="1" xfId="1" quotePrefix="1" applyFont="1" applyBorder="1" applyAlignment="1">
      <alignment horizontal="left" wrapText="1"/>
    </xf>
    <xf numFmtId="0" fontId="6" fillId="0" borderId="1" xfId="1" applyFont="1" applyBorder="1" applyAlignment="1" applyProtection="1">
      <alignment horizontal="center"/>
    </xf>
    <xf numFmtId="0" fontId="6" fillId="0" borderId="1" xfId="1" applyFont="1" applyBorder="1" applyAlignment="1">
      <alignment horizontal="left" wrapText="1"/>
    </xf>
    <xf numFmtId="2" fontId="8" fillId="0" borderId="1" xfId="1" applyNumberFormat="1" applyFont="1" applyBorder="1" applyAlignment="1">
      <alignment horizontal="center" vertical="top" wrapText="1"/>
    </xf>
    <xf numFmtId="11" fontId="6" fillId="0" borderId="1" xfId="1" applyNumberFormat="1" applyFont="1" applyBorder="1" applyAlignment="1">
      <alignment horizontal="center" vertical="top" wrapText="1"/>
    </xf>
    <xf numFmtId="11" fontId="6" fillId="2" borderId="1" xfId="1" applyNumberFormat="1" applyFont="1" applyFill="1" applyBorder="1" applyAlignment="1">
      <alignment horizontal="center"/>
    </xf>
    <xf numFmtId="2" fontId="8" fillId="2" borderId="1" xfId="1" applyNumberFormat="1" applyFont="1" applyFill="1" applyBorder="1" applyAlignment="1">
      <alignment horizontal="center"/>
    </xf>
    <xf numFmtId="168" fontId="6" fillId="2" borderId="1" xfId="1" applyNumberFormat="1" applyFont="1" applyFill="1" applyBorder="1" applyAlignment="1">
      <alignment horizontal="center"/>
    </xf>
    <xf numFmtId="0" fontId="6" fillId="2" borderId="1" xfId="1" applyFont="1" applyFill="1" applyBorder="1" applyAlignment="1">
      <alignment horizontal="center"/>
    </xf>
    <xf numFmtId="0" fontId="6" fillId="0" borderId="1" xfId="1" applyNumberFormat="1" applyFont="1" applyBorder="1" applyAlignment="1"/>
    <xf numFmtId="2" fontId="6" fillId="2" borderId="1" xfId="1" applyNumberFormat="1" applyFont="1" applyFill="1" applyBorder="1" applyAlignment="1" applyProtection="1">
      <alignment horizontal="center"/>
    </xf>
    <xf numFmtId="2" fontId="8" fillId="0" borderId="1" xfId="1" applyNumberFormat="1" applyFont="1" applyBorder="1" applyAlignment="1">
      <alignment horizontal="center" vertical="top"/>
    </xf>
    <xf numFmtId="2" fontId="6" fillId="0" borderId="1" xfId="1" applyNumberFormat="1" applyFont="1" applyBorder="1" applyAlignment="1">
      <alignment horizontal="center"/>
    </xf>
    <xf numFmtId="0" fontId="6" fillId="0" borderId="1" xfId="1" applyFont="1" applyFill="1" applyBorder="1"/>
    <xf numFmtId="0" fontId="9" fillId="3" borderId="1" xfId="1" applyFont="1" applyFill="1" applyBorder="1" applyAlignment="1">
      <alignment horizontal="center" wrapText="1"/>
    </xf>
    <xf numFmtId="2" fontId="8" fillId="0" borderId="1" xfId="1" applyNumberFormat="1" applyFont="1" applyFill="1" applyBorder="1" applyAlignment="1">
      <alignment horizontal="center"/>
    </xf>
    <xf numFmtId="11" fontId="6" fillId="0" borderId="1" xfId="1" applyNumberFormat="1" applyFont="1" applyFill="1" applyBorder="1" applyAlignment="1">
      <alignment horizontal="center"/>
    </xf>
    <xf numFmtId="168" fontId="6" fillId="0" borderId="1" xfId="1" applyNumberFormat="1" applyFont="1" applyFill="1" applyBorder="1" applyAlignment="1">
      <alignment horizontal="center"/>
    </xf>
    <xf numFmtId="0" fontId="6" fillId="0" borderId="1" xfId="1" applyFont="1" applyFill="1" applyBorder="1" applyAlignment="1">
      <alignment horizontal="center"/>
    </xf>
    <xf numFmtId="0" fontId="6" fillId="0" borderId="1" xfId="1" applyFont="1" applyFill="1" applyBorder="1" applyAlignment="1" applyProtection="1">
      <alignment horizontal="center"/>
    </xf>
    <xf numFmtId="169" fontId="6" fillId="0" borderId="1" xfId="1" applyNumberFormat="1" applyFont="1" applyFill="1" applyBorder="1" applyAlignment="1" applyProtection="1">
      <alignment horizontal="center"/>
    </xf>
    <xf numFmtId="2" fontId="6" fillId="0" borderId="1" xfId="1" applyNumberFormat="1" applyFont="1" applyFill="1" applyBorder="1" applyAlignment="1" applyProtection="1">
      <alignment horizontal="center"/>
    </xf>
    <xf numFmtId="2" fontId="8" fillId="0" borderId="1" xfId="1" applyNumberFormat="1" applyFont="1" applyFill="1" applyBorder="1" applyAlignment="1">
      <alignment horizontal="center" vertical="top"/>
    </xf>
    <xf numFmtId="2" fontId="6" fillId="0" borderId="1" xfId="1" applyNumberFormat="1" applyFont="1" applyFill="1" applyBorder="1" applyAlignment="1">
      <alignment horizontal="center"/>
    </xf>
    <xf numFmtId="0" fontId="9" fillId="3" borderId="1" xfId="1" applyFont="1" applyFill="1" applyBorder="1" applyAlignment="1">
      <alignment horizontal="center"/>
    </xf>
    <xf numFmtId="0" fontId="6" fillId="4" borderId="1" xfId="1" applyFont="1" applyFill="1" applyBorder="1" applyAlignment="1" applyProtection="1">
      <alignment horizontal="center"/>
    </xf>
    <xf numFmtId="0" fontId="6" fillId="0" borderId="0" xfId="1" applyFont="1" applyBorder="1" applyAlignment="1">
      <alignment horizontal="left"/>
    </xf>
    <xf numFmtId="0" fontId="6" fillId="4" borderId="1" xfId="1" applyFont="1" applyFill="1" applyBorder="1"/>
    <xf numFmtId="169" fontId="6" fillId="5" borderId="1" xfId="1" applyNumberFormat="1" applyFont="1" applyFill="1" applyBorder="1" applyAlignment="1" applyProtection="1">
      <alignment horizontal="center"/>
    </xf>
    <xf numFmtId="0" fontId="6" fillId="5" borderId="1" xfId="1" applyFont="1" applyFill="1" applyBorder="1"/>
    <xf numFmtId="0" fontId="6" fillId="2" borderId="1" xfId="1" applyFont="1" applyFill="1" applyBorder="1"/>
    <xf numFmtId="0" fontId="6" fillId="6" borderId="1" xfId="1" applyFont="1" applyFill="1" applyBorder="1" applyAlignment="1" applyProtection="1">
      <alignment horizontal="center"/>
    </xf>
    <xf numFmtId="0" fontId="6" fillId="6" borderId="1" xfId="1" applyFont="1" applyFill="1" applyBorder="1"/>
    <xf numFmtId="0" fontId="6" fillId="7" borderId="1" xfId="1" applyFont="1" applyFill="1" applyBorder="1" applyAlignment="1" applyProtection="1">
      <alignment horizontal="center"/>
    </xf>
    <xf numFmtId="0" fontId="6" fillId="7" borderId="1" xfId="1" applyFont="1" applyFill="1" applyBorder="1"/>
    <xf numFmtId="0" fontId="20" fillId="8" borderId="1" xfId="1" applyFont="1" applyFill="1" applyBorder="1"/>
    <xf numFmtId="0" fontId="0" fillId="9" borderId="0" xfId="0" applyFill="1"/>
    <xf numFmtId="0" fontId="0" fillId="10" borderId="0" xfId="0" applyFill="1"/>
    <xf numFmtId="0" fontId="1" fillId="10" borderId="0" xfId="0" applyFont="1" applyFill="1" applyBorder="1"/>
    <xf numFmtId="0" fontId="1" fillId="10" borderId="1" xfId="0" applyFont="1" applyFill="1" applyBorder="1" applyAlignment="1" applyProtection="1">
      <alignment horizontal="left"/>
    </xf>
    <xf numFmtId="0" fontId="1" fillId="10" borderId="0" xfId="0" applyFont="1" applyFill="1"/>
    <xf numFmtId="0" fontId="1" fillId="11" borderId="0" xfId="0" applyFont="1" applyFill="1"/>
    <xf numFmtId="0" fontId="1" fillId="10" borderId="1" xfId="0" applyFont="1" applyFill="1" applyBorder="1" applyAlignment="1" applyProtection="1">
      <alignment horizontal="center"/>
    </xf>
    <xf numFmtId="0" fontId="5" fillId="10" borderId="1" xfId="1" applyFont="1" applyFill="1" applyBorder="1" applyAlignment="1">
      <alignment wrapText="1"/>
    </xf>
    <xf numFmtId="166" fontId="1" fillId="12" borderId="1" xfId="0" applyNumberFormat="1" applyFont="1" applyFill="1" applyBorder="1" applyAlignment="1">
      <alignment horizontal="center"/>
    </xf>
    <xf numFmtId="0" fontId="5" fillId="10" borderId="1" xfId="1" quotePrefix="1" applyFont="1" applyFill="1" applyBorder="1" applyAlignment="1">
      <alignment horizontal="left" wrapText="1"/>
    </xf>
    <xf numFmtId="0" fontId="5" fillId="10" borderId="1" xfId="1" applyFont="1" applyFill="1" applyBorder="1" applyAlignment="1">
      <alignment horizontal="left" wrapText="1"/>
    </xf>
    <xf numFmtId="0" fontId="5" fillId="10" borderId="1" xfId="1" applyNumberFormat="1" applyFont="1" applyFill="1" applyBorder="1" applyAlignment="1"/>
    <xf numFmtId="0" fontId="5" fillId="10" borderId="1" xfId="1" applyFont="1" applyFill="1" applyBorder="1"/>
    <xf numFmtId="166" fontId="1" fillId="14" borderId="1" xfId="0" applyNumberFormat="1" applyFont="1" applyFill="1" applyBorder="1" applyAlignment="1" applyProtection="1">
      <alignment horizontal="center"/>
      <protection locked="0"/>
    </xf>
    <xf numFmtId="166" fontId="1" fillId="15" borderId="1" xfId="0" applyNumberFormat="1" applyFont="1" applyFill="1" applyBorder="1" applyAlignment="1">
      <alignment horizontal="center"/>
    </xf>
    <xf numFmtId="0" fontId="21" fillId="13" borderId="0" xfId="0" applyFont="1" applyFill="1" applyAlignment="1">
      <alignment horizontal="center"/>
    </xf>
    <xf numFmtId="0" fontId="4" fillId="10" borderId="0" xfId="0" applyFont="1" applyFill="1" applyAlignment="1">
      <alignment horizontal="center"/>
    </xf>
    <xf numFmtId="0" fontId="1" fillId="14" borderId="1" xfId="0" applyFont="1" applyFill="1" applyBorder="1" applyAlignment="1" applyProtection="1">
      <alignment horizontal="center"/>
      <protection locked="0"/>
    </xf>
    <xf numFmtId="0" fontId="1" fillId="10" borderId="1" xfId="0" applyFont="1" applyFill="1" applyBorder="1"/>
    <xf numFmtId="0" fontId="1" fillId="10" borderId="1" xfId="0" applyFont="1" applyFill="1" applyBorder="1" applyAlignment="1">
      <alignment horizontal="center"/>
    </xf>
    <xf numFmtId="0" fontId="1" fillId="14" borderId="1" xfId="0" applyFont="1" applyFill="1" applyBorder="1" applyAlignment="1">
      <alignment horizontal="center"/>
    </xf>
    <xf numFmtId="0" fontId="1" fillId="15" borderId="1" xfId="0" applyFont="1" applyFill="1" applyBorder="1" applyAlignment="1">
      <alignment horizontal="center"/>
    </xf>
    <xf numFmtId="0" fontId="1" fillId="17" borderId="1" xfId="0" applyFont="1" applyFill="1" applyBorder="1" applyAlignment="1">
      <alignment horizontal="center"/>
    </xf>
    <xf numFmtId="164" fontId="1" fillId="15" borderId="1" xfId="0" applyNumberFormat="1" applyFont="1" applyFill="1" applyBorder="1" applyAlignment="1">
      <alignment horizontal="center"/>
    </xf>
    <xf numFmtId="0" fontId="1" fillId="10" borderId="0" xfId="0" applyFont="1" applyFill="1" applyBorder="1" applyAlignment="1" applyProtection="1">
      <alignment horizontal="center"/>
      <protection locked="0"/>
    </xf>
    <xf numFmtId="0" fontId="1" fillId="10" borderId="0" xfId="0" applyFont="1" applyFill="1" applyBorder="1" applyAlignment="1" applyProtection="1">
      <alignment horizontal="left"/>
    </xf>
    <xf numFmtId="0" fontId="1" fillId="10" borderId="0" xfId="0" applyFont="1" applyFill="1" applyBorder="1" applyAlignment="1" applyProtection="1">
      <alignment horizontal="center"/>
    </xf>
    <xf numFmtId="0" fontId="1" fillId="10" borderId="0" xfId="0" applyFont="1" applyFill="1" applyBorder="1" applyAlignment="1">
      <alignment horizontal="center"/>
    </xf>
    <xf numFmtId="0" fontId="5" fillId="10" borderId="2" xfId="1" applyFont="1" applyFill="1" applyBorder="1"/>
    <xf numFmtId="0" fontId="1" fillId="10" borderId="2" xfId="0" applyFont="1" applyFill="1" applyBorder="1" applyAlignment="1" applyProtection="1">
      <alignment horizontal="center"/>
    </xf>
    <xf numFmtId="0" fontId="21" fillId="13" borderId="1" xfId="0" applyFont="1" applyFill="1" applyBorder="1"/>
    <xf numFmtId="0" fontId="4" fillId="10" borderId="0" xfId="0" applyFont="1" applyFill="1" applyBorder="1"/>
    <xf numFmtId="2" fontId="1" fillId="10" borderId="0" xfId="0" applyNumberFormat="1" applyFont="1" applyFill="1" applyBorder="1"/>
    <xf numFmtId="0" fontId="22" fillId="11" borderId="0" xfId="0" applyFont="1" applyFill="1"/>
    <xf numFmtId="0" fontId="1" fillId="14" borderId="2" xfId="0" applyFont="1" applyFill="1" applyBorder="1" applyAlignment="1">
      <alignment horizontal="center"/>
    </xf>
    <xf numFmtId="0" fontId="1" fillId="11" borderId="0" xfId="0" applyFont="1" applyFill="1" applyBorder="1"/>
    <xf numFmtId="0" fontId="1" fillId="11" borderId="0" xfId="0" applyFont="1" applyFill="1" applyBorder="1" applyAlignment="1">
      <alignment horizontal="center"/>
    </xf>
    <xf numFmtId="0" fontId="1" fillId="10" borderId="0" xfId="0" applyFont="1" applyFill="1" applyAlignment="1">
      <alignment wrapText="1"/>
    </xf>
    <xf numFmtId="0" fontId="5" fillId="10" borderId="0" xfId="1" applyFont="1" applyFill="1" applyBorder="1"/>
    <xf numFmtId="165" fontId="1" fillId="14" borderId="1" xfId="0" applyNumberFormat="1" applyFont="1" applyFill="1" applyBorder="1" applyAlignment="1" applyProtection="1">
      <alignment horizontal="center"/>
      <protection locked="0"/>
    </xf>
    <xf numFmtId="165" fontId="1" fillId="14" borderId="2" xfId="0" applyNumberFormat="1" applyFont="1" applyFill="1" applyBorder="1" applyAlignment="1">
      <alignment horizontal="center"/>
    </xf>
    <xf numFmtId="0" fontId="21" fillId="13" borderId="3" xfId="0" applyFont="1" applyFill="1" applyBorder="1"/>
    <xf numFmtId="0" fontId="21" fillId="13" borderId="3" xfId="0" applyFont="1" applyFill="1" applyBorder="1" applyAlignment="1">
      <alignment horizontal="center"/>
    </xf>
    <xf numFmtId="0" fontId="1" fillId="19" borderId="1" xfId="0" applyFont="1" applyFill="1" applyBorder="1" applyAlignment="1">
      <alignment horizontal="center"/>
    </xf>
    <xf numFmtId="11" fontId="1" fillId="17" borderId="1" xfId="0" applyNumberFormat="1" applyFont="1" applyFill="1" applyBorder="1" applyAlignment="1">
      <alignment horizontal="center"/>
    </xf>
    <xf numFmtId="11" fontId="1" fillId="19" borderId="1" xfId="0" applyNumberFormat="1" applyFont="1" applyFill="1" applyBorder="1" applyAlignment="1">
      <alignment horizontal="center"/>
    </xf>
    <xf numFmtId="0" fontId="1" fillId="0" borderId="1" xfId="0" applyFont="1" applyFill="1" applyBorder="1"/>
    <xf numFmtId="1" fontId="1" fillId="17" borderId="1" xfId="0" applyNumberFormat="1" applyFont="1" applyFill="1" applyBorder="1" applyAlignment="1">
      <alignment horizontal="center"/>
    </xf>
    <xf numFmtId="0" fontId="1" fillId="20" borderId="1" xfId="0" applyFont="1" applyFill="1" applyBorder="1" applyAlignment="1">
      <alignment horizontal="center"/>
    </xf>
    <xf numFmtId="1" fontId="1" fillId="20" borderId="1" xfId="0" applyNumberFormat="1" applyFont="1" applyFill="1" applyBorder="1" applyAlignment="1">
      <alignment horizontal="center"/>
    </xf>
    <xf numFmtId="11" fontId="1" fillId="20" borderId="1" xfId="0" applyNumberFormat="1" applyFont="1" applyFill="1" applyBorder="1" applyAlignment="1">
      <alignment horizontal="center"/>
    </xf>
    <xf numFmtId="0" fontId="22" fillId="11" borderId="0" xfId="0" applyFont="1" applyFill="1" applyBorder="1" applyAlignment="1" applyProtection="1">
      <alignment horizontal="center"/>
      <protection locked="0"/>
    </xf>
    <xf numFmtId="172" fontId="1" fillId="10" borderId="1" xfId="0" applyNumberFormat="1" applyFont="1" applyFill="1" applyBorder="1"/>
    <xf numFmtId="172" fontId="1" fillId="10" borderId="0" xfId="0" applyNumberFormat="1" applyFont="1" applyFill="1"/>
    <xf numFmtId="172" fontId="1" fillId="10" borderId="0" xfId="0" applyNumberFormat="1" applyFont="1" applyFill="1" applyBorder="1"/>
    <xf numFmtId="172" fontId="1" fillId="0" borderId="1" xfId="0" applyNumberFormat="1" applyFont="1" applyFill="1" applyBorder="1"/>
    <xf numFmtId="0" fontId="1" fillId="0" borderId="1" xfId="0" applyFont="1" applyFill="1" applyBorder="1" applyAlignment="1" applyProtection="1">
      <alignment horizontal="left"/>
    </xf>
    <xf numFmtId="0" fontId="1" fillId="0" borderId="0" xfId="0" applyFont="1" applyFill="1"/>
    <xf numFmtId="0" fontId="1" fillId="17" borderId="1" xfId="0" applyFont="1" applyFill="1" applyBorder="1" applyAlignment="1" applyProtection="1">
      <alignment horizontal="center"/>
      <protection locked="0"/>
    </xf>
    <xf numFmtId="0" fontId="1" fillId="17" borderId="2" xfId="0" applyFont="1" applyFill="1" applyBorder="1" applyAlignment="1">
      <alignment horizontal="center"/>
    </xf>
    <xf numFmtId="0" fontId="1" fillId="9" borderId="0" xfId="0" applyFont="1" applyFill="1" applyBorder="1"/>
    <xf numFmtId="0" fontId="1" fillId="9" borderId="0" xfId="0" applyFont="1" applyFill="1" applyBorder="1" applyAlignment="1">
      <alignment horizontal="center"/>
    </xf>
    <xf numFmtId="0" fontId="1" fillId="9" borderId="0" xfId="0" applyFont="1" applyFill="1" applyBorder="1" applyAlignment="1" applyProtection="1">
      <alignment horizontal="center"/>
    </xf>
    <xf numFmtId="0" fontId="1" fillId="9" borderId="0" xfId="0" applyFont="1" applyFill="1" applyBorder="1" applyAlignment="1" applyProtection="1">
      <alignment horizontal="center"/>
      <protection locked="0"/>
    </xf>
    <xf numFmtId="0" fontId="1" fillId="9" borderId="0" xfId="0" applyFont="1" applyFill="1"/>
    <xf numFmtId="0" fontId="21" fillId="13" borderId="1" xfId="0" applyFont="1" applyFill="1" applyBorder="1" applyAlignment="1">
      <alignment horizontal="center"/>
    </xf>
    <xf numFmtId="0" fontId="1" fillId="10" borderId="1" xfId="0" applyFont="1" applyFill="1" applyBorder="1" applyAlignment="1">
      <alignment horizontal="center" vertical="top"/>
    </xf>
    <xf numFmtId="0" fontId="1" fillId="9" borderId="1" xfId="0" applyFont="1" applyFill="1" applyBorder="1"/>
    <xf numFmtId="171" fontId="1" fillId="10" borderId="1" xfId="0" applyNumberFormat="1" applyFont="1" applyFill="1" applyBorder="1" applyAlignment="1">
      <alignment horizontal="center"/>
    </xf>
    <xf numFmtId="0" fontId="5" fillId="9" borderId="0" xfId="1" applyFont="1" applyFill="1" applyBorder="1" applyAlignment="1">
      <alignment wrapText="1"/>
    </xf>
    <xf numFmtId="0" fontId="5" fillId="9" borderId="0" xfId="1" quotePrefix="1" applyFont="1" applyFill="1" applyBorder="1" applyAlignment="1">
      <alignment horizontal="left" wrapText="1"/>
    </xf>
    <xf numFmtId="0" fontId="5" fillId="9" borderId="0" xfId="1" applyFont="1" applyFill="1" applyBorder="1" applyAlignment="1">
      <alignment horizontal="left" wrapText="1"/>
    </xf>
    <xf numFmtId="0" fontId="5" fillId="9" borderId="0" xfId="1" applyNumberFormat="1" applyFont="1" applyFill="1" applyBorder="1" applyAlignment="1"/>
    <xf numFmtId="0" fontId="5" fillId="9" borderId="0" xfId="1" applyFont="1" applyFill="1" applyBorder="1"/>
    <xf numFmtId="166" fontId="1" fillId="10" borderId="1" xfId="0" applyNumberFormat="1" applyFont="1" applyFill="1" applyBorder="1" applyAlignment="1">
      <alignment horizontal="center"/>
    </xf>
    <xf numFmtId="0" fontId="21" fillId="21" borderId="1" xfId="0" applyFont="1" applyFill="1" applyBorder="1"/>
    <xf numFmtId="0" fontId="22" fillId="21" borderId="1" xfId="0" applyFont="1" applyFill="1" applyBorder="1" applyAlignment="1">
      <alignment wrapText="1"/>
    </xf>
    <xf numFmtId="1" fontId="1" fillId="10" borderId="1" xfId="0" applyNumberFormat="1" applyFont="1" applyFill="1" applyBorder="1" applyAlignment="1">
      <alignment horizontal="center"/>
    </xf>
    <xf numFmtId="0" fontId="22" fillId="11" borderId="0" xfId="0" applyNumberFormat="1" applyFont="1" applyFill="1" applyBorder="1" applyAlignment="1">
      <alignment vertical="center" wrapText="1"/>
    </xf>
    <xf numFmtId="0" fontId="22" fillId="11" borderId="0" xfId="0" applyFont="1" applyFill="1" applyBorder="1" applyAlignment="1">
      <alignment wrapText="1"/>
    </xf>
    <xf numFmtId="1" fontId="1" fillId="11" borderId="0" xfId="0" applyNumberFormat="1" applyFont="1" applyFill="1" applyBorder="1" applyAlignment="1">
      <alignment horizontal="center"/>
    </xf>
    <xf numFmtId="0" fontId="21" fillId="22" borderId="4" xfId="0" applyFont="1" applyFill="1" applyBorder="1" applyAlignment="1">
      <alignment horizontal="center"/>
    </xf>
    <xf numFmtId="0" fontId="21" fillId="11" borderId="0" xfId="0" applyFont="1" applyFill="1" applyBorder="1" applyAlignment="1">
      <alignment horizontal="center"/>
    </xf>
    <xf numFmtId="0" fontId="23" fillId="9" borderId="0" xfId="0" applyFont="1" applyFill="1" applyBorder="1" applyAlignment="1">
      <alignment horizontal="center"/>
    </xf>
    <xf numFmtId="0" fontId="24" fillId="9" borderId="0" xfId="0" applyFont="1" applyFill="1"/>
    <xf numFmtId="0" fontId="15" fillId="9" borderId="0" xfId="0" applyFont="1" applyFill="1"/>
    <xf numFmtId="0" fontId="23" fillId="9" borderId="0" xfId="0" applyFont="1" applyFill="1" applyAlignment="1">
      <alignment horizontal="center"/>
    </xf>
    <xf numFmtId="0" fontId="15" fillId="9" borderId="0" xfId="0" applyFont="1" applyFill="1" applyAlignment="1"/>
    <xf numFmtId="0" fontId="19" fillId="23" borderId="0" xfId="1" applyFont="1" applyFill="1"/>
    <xf numFmtId="2" fontId="1" fillId="10" borderId="1" xfId="0" applyNumberFormat="1" applyFont="1" applyFill="1" applyBorder="1" applyAlignment="1">
      <alignment horizontal="center"/>
    </xf>
    <xf numFmtId="0" fontId="22" fillId="26" borderId="1" xfId="0" applyFont="1" applyFill="1" applyBorder="1" applyAlignment="1">
      <alignment wrapText="1"/>
    </xf>
    <xf numFmtId="0" fontId="22" fillId="21" borderId="1" xfId="0" applyFont="1" applyFill="1" applyBorder="1" applyAlignment="1">
      <alignment horizontal="center" wrapText="1"/>
    </xf>
    <xf numFmtId="0" fontId="22" fillId="27" borderId="1" xfId="0" applyFont="1" applyFill="1" applyBorder="1" applyAlignment="1">
      <alignment wrapText="1"/>
    </xf>
    <xf numFmtId="0" fontId="22" fillId="27" borderId="1" xfId="0" applyFont="1" applyFill="1" applyBorder="1" applyAlignment="1">
      <alignment horizontal="center" wrapText="1"/>
    </xf>
    <xf numFmtId="0" fontId="1" fillId="22" borderId="0" xfId="0" applyFont="1" applyFill="1"/>
    <xf numFmtId="0" fontId="22" fillId="28" borderId="1" xfId="0" applyFont="1" applyFill="1" applyBorder="1" applyAlignment="1">
      <alignment wrapText="1"/>
    </xf>
    <xf numFmtId="0" fontId="22" fillId="28" borderId="1" xfId="0" applyFont="1" applyFill="1" applyBorder="1" applyAlignment="1">
      <alignment horizontal="center" wrapText="1"/>
    </xf>
    <xf numFmtId="0" fontId="22" fillId="29" borderId="0" xfId="0" applyFont="1" applyFill="1" applyAlignment="1">
      <alignment wrapText="1"/>
    </xf>
    <xf numFmtId="11" fontId="6" fillId="0" borderId="0" xfId="1" applyNumberFormat="1" applyFont="1"/>
    <xf numFmtId="0" fontId="0" fillId="22" borderId="0" xfId="0" applyFill="1"/>
    <xf numFmtId="0" fontId="22" fillId="29" borderId="1" xfId="0" applyFont="1" applyFill="1" applyBorder="1" applyAlignment="1">
      <alignment wrapText="1"/>
    </xf>
    <xf numFmtId="1" fontId="0" fillId="10" borderId="1" xfId="0" applyNumberFormat="1" applyFill="1" applyBorder="1" applyAlignment="1">
      <alignment horizontal="center"/>
    </xf>
    <xf numFmtId="0" fontId="0" fillId="10" borderId="1" xfId="0" applyFill="1" applyBorder="1" applyAlignment="1">
      <alignment horizontal="center"/>
    </xf>
    <xf numFmtId="0" fontId="21" fillId="30" borderId="1" xfId="0" applyFont="1" applyFill="1" applyBorder="1" applyAlignment="1">
      <alignment horizontal="center"/>
    </xf>
    <xf numFmtId="0" fontId="21" fillId="30" borderId="1" xfId="0" applyFont="1" applyFill="1" applyBorder="1"/>
    <xf numFmtId="0" fontId="22" fillId="30" borderId="1" xfId="0" applyFont="1" applyFill="1" applyBorder="1" applyAlignment="1">
      <alignment horizontal="center"/>
    </xf>
    <xf numFmtId="0" fontId="21" fillId="30" borderId="0" xfId="0" applyFont="1" applyFill="1" applyAlignment="1">
      <alignment horizontal="center"/>
    </xf>
    <xf numFmtId="11" fontId="0" fillId="10" borderId="1" xfId="0" applyNumberFormat="1" applyFill="1" applyBorder="1" applyAlignment="1">
      <alignment horizontal="center"/>
    </xf>
    <xf numFmtId="11" fontId="0" fillId="10" borderId="0" xfId="0" applyNumberFormat="1" applyFill="1"/>
    <xf numFmtId="167" fontId="1" fillId="10" borderId="1" xfId="0" applyNumberFormat="1" applyFont="1" applyFill="1" applyBorder="1" applyAlignment="1">
      <alignment horizontal="center"/>
    </xf>
    <xf numFmtId="174" fontId="0" fillId="10" borderId="1" xfId="0" applyNumberFormat="1" applyFill="1" applyBorder="1" applyAlignment="1">
      <alignment horizontal="center"/>
    </xf>
    <xf numFmtId="0" fontId="6" fillId="0" borderId="0" xfId="1" applyFont="1" applyAlignment="1">
      <alignment horizontal="center" wrapText="1"/>
    </xf>
    <xf numFmtId="171" fontId="6" fillId="0" borderId="1" xfId="1" applyNumberFormat="1" applyFont="1" applyBorder="1" applyAlignment="1">
      <alignment horizontal="center"/>
    </xf>
    <xf numFmtId="171" fontId="6" fillId="2" borderId="1" xfId="1" applyNumberFormat="1" applyFont="1" applyFill="1" applyBorder="1" applyAlignment="1">
      <alignment horizontal="center"/>
    </xf>
    <xf numFmtId="171" fontId="6" fillId="0" borderId="0" xfId="1" applyNumberFormat="1" applyFont="1"/>
    <xf numFmtId="173" fontId="0" fillId="0" borderId="2" xfId="0" applyNumberFormat="1" applyBorder="1" applyAlignment="1">
      <alignment horizontal="center"/>
    </xf>
    <xf numFmtId="0" fontId="1" fillId="0" borderId="1" xfId="0" applyFont="1" applyFill="1" applyBorder="1" applyAlignment="1">
      <alignment horizontal="center"/>
    </xf>
    <xf numFmtId="0" fontId="1" fillId="10" borderId="0" xfId="0" applyFont="1" applyFill="1" applyAlignment="1">
      <alignment horizontal="right"/>
    </xf>
    <xf numFmtId="167" fontId="6" fillId="0" borderId="0" xfId="1" applyNumberFormat="1" applyFont="1"/>
    <xf numFmtId="173" fontId="1" fillId="18" borderId="1" xfId="0" applyNumberFormat="1" applyFont="1" applyFill="1" applyBorder="1" applyAlignment="1">
      <alignment horizontal="center"/>
    </xf>
    <xf numFmtId="173" fontId="1" fillId="16" borderId="1" xfId="0" applyNumberFormat="1" applyFont="1" applyFill="1" applyBorder="1" applyAlignment="1">
      <alignment horizontal="center"/>
    </xf>
    <xf numFmtId="11" fontId="6" fillId="0" borderId="1" xfId="1" applyNumberFormat="1" applyFont="1" applyBorder="1"/>
    <xf numFmtId="0" fontId="5" fillId="10" borderId="7" xfId="1" applyFont="1" applyFill="1" applyBorder="1"/>
    <xf numFmtId="0" fontId="1" fillId="10" borderId="7" xfId="0" applyFont="1" applyFill="1" applyBorder="1" applyAlignment="1" applyProtection="1">
      <alignment horizontal="left"/>
    </xf>
    <xf numFmtId="0" fontId="5" fillId="10" borderId="7" xfId="1" applyFont="1" applyFill="1" applyBorder="1" applyAlignment="1">
      <alignment wrapText="1"/>
    </xf>
    <xf numFmtId="0" fontId="5" fillId="10" borderId="7" xfId="1" quotePrefix="1" applyFont="1" applyFill="1" applyBorder="1" applyAlignment="1">
      <alignment horizontal="left" wrapText="1"/>
    </xf>
    <xf numFmtId="0" fontId="5" fillId="10" borderId="7" xfId="1" applyFont="1" applyFill="1" applyBorder="1" applyAlignment="1">
      <alignment horizontal="left" wrapText="1"/>
    </xf>
    <xf numFmtId="0" fontId="5" fillId="10" borderId="7" xfId="1" applyNumberFormat="1" applyFont="1" applyFill="1" applyBorder="1" applyAlignment="1"/>
    <xf numFmtId="0" fontId="5" fillId="10" borderId="10" xfId="1" applyFont="1" applyFill="1" applyBorder="1"/>
    <xf numFmtId="166" fontId="1" fillId="14" borderId="14" xfId="0" applyNumberFormat="1" applyFont="1" applyFill="1" applyBorder="1" applyAlignment="1" applyProtection="1">
      <alignment horizontal="center"/>
      <protection locked="0"/>
    </xf>
    <xf numFmtId="164" fontId="1" fillId="15" borderId="14" xfId="0" applyNumberFormat="1" applyFont="1" applyFill="1" applyBorder="1" applyAlignment="1">
      <alignment horizontal="center"/>
    </xf>
    <xf numFmtId="0" fontId="1" fillId="10" borderId="0" xfId="0" applyFont="1" applyFill="1" applyBorder="1" applyAlignment="1">
      <alignment horizontal="center"/>
    </xf>
    <xf numFmtId="0" fontId="1" fillId="11" borderId="0" xfId="0" applyFont="1" applyFill="1" applyBorder="1" applyAlignment="1" applyProtection="1">
      <alignment horizontal="center"/>
    </xf>
    <xf numFmtId="0" fontId="21" fillId="30" borderId="1" xfId="0" applyFont="1" applyFill="1" applyBorder="1" applyAlignment="1">
      <alignment wrapText="1"/>
    </xf>
    <xf numFmtId="0" fontId="21" fillId="30" borderId="1" xfId="0" applyFont="1" applyFill="1" applyBorder="1" applyAlignment="1">
      <alignment horizontal="center" wrapText="1"/>
    </xf>
    <xf numFmtId="0" fontId="0" fillId="10" borderId="1" xfId="0" applyFill="1" applyBorder="1"/>
    <xf numFmtId="166" fontId="1" fillId="10" borderId="0" xfId="0" applyNumberFormat="1" applyFont="1" applyFill="1" applyBorder="1" applyAlignment="1" applyProtection="1">
      <alignment horizontal="center"/>
      <protection locked="0"/>
    </xf>
    <xf numFmtId="0" fontId="4" fillId="31" borderId="1" xfId="0" applyFont="1" applyFill="1" applyBorder="1" applyAlignment="1">
      <alignment horizontal="center"/>
    </xf>
    <xf numFmtId="0" fontId="4" fillId="31" borderId="15" xfId="0" applyFont="1" applyFill="1" applyBorder="1" applyAlignment="1">
      <alignment horizontal="center"/>
    </xf>
    <xf numFmtId="0" fontId="21" fillId="30" borderId="7" xfId="0" applyFont="1" applyFill="1" applyBorder="1"/>
    <xf numFmtId="0" fontId="21" fillId="30" borderId="14" xfId="0" applyFont="1" applyFill="1" applyBorder="1" applyAlignment="1">
      <alignment horizontal="center" wrapText="1"/>
    </xf>
    <xf numFmtId="0" fontId="21" fillId="30" borderId="15" xfId="0" applyFont="1" applyFill="1" applyBorder="1" applyAlignment="1">
      <alignment horizontal="center"/>
    </xf>
    <xf numFmtId="172" fontId="0" fillId="26" borderId="1" xfId="0" applyNumberFormat="1" applyFill="1" applyBorder="1"/>
    <xf numFmtId="0" fontId="1" fillId="10" borderId="15" xfId="0" applyFont="1" applyFill="1" applyBorder="1" applyAlignment="1">
      <alignment horizontal="center"/>
    </xf>
    <xf numFmtId="171" fontId="0" fillId="10" borderId="0" xfId="0" applyNumberFormat="1" applyFill="1"/>
    <xf numFmtId="171" fontId="1" fillId="10" borderId="0" xfId="0" applyNumberFormat="1" applyFont="1" applyFill="1" applyBorder="1"/>
    <xf numFmtId="0" fontId="21" fillId="30" borderId="15" xfId="0" applyFont="1" applyFill="1" applyBorder="1" applyAlignment="1">
      <alignment horizontal="center" wrapText="1"/>
    </xf>
    <xf numFmtId="0" fontId="0" fillId="10" borderId="0" xfId="0" applyFill="1" applyBorder="1"/>
    <xf numFmtId="0" fontId="1" fillId="10" borderId="7" xfId="0" applyFont="1" applyFill="1" applyBorder="1" applyAlignment="1">
      <alignment horizontal="center"/>
    </xf>
    <xf numFmtId="167" fontId="0" fillId="32" borderId="1" xfId="0" applyNumberFormat="1" applyFill="1" applyBorder="1" applyAlignment="1">
      <alignment horizontal="center"/>
    </xf>
    <xf numFmtId="164" fontId="0" fillId="10" borderId="1" xfId="0" applyNumberFormat="1" applyFill="1" applyBorder="1" applyAlignment="1">
      <alignment horizontal="center"/>
    </xf>
    <xf numFmtId="172" fontId="5" fillId="10" borderId="0" xfId="0" applyNumberFormat="1" applyFont="1" applyFill="1" applyBorder="1"/>
    <xf numFmtId="0" fontId="9" fillId="13" borderId="1" xfId="1" applyFont="1" applyFill="1" applyBorder="1" applyAlignment="1">
      <alignment horizontal="center" wrapText="1"/>
    </xf>
    <xf numFmtId="0" fontId="9" fillId="13" borderId="3" xfId="1" applyFont="1" applyFill="1" applyBorder="1" applyAlignment="1">
      <alignment horizontal="center" wrapText="1"/>
    </xf>
    <xf numFmtId="0" fontId="9" fillId="13" borderId="2" xfId="1" applyFont="1" applyFill="1" applyBorder="1" applyAlignment="1">
      <alignment horizontal="center" wrapText="1"/>
    </xf>
    <xf numFmtId="172" fontId="6" fillId="10" borderId="1" xfId="1" applyNumberFormat="1" applyFont="1" applyFill="1" applyBorder="1" applyAlignment="1">
      <alignment horizontal="center"/>
    </xf>
    <xf numFmtId="172" fontId="5" fillId="10" borderId="1" xfId="0" applyNumberFormat="1" applyFont="1" applyFill="1" applyBorder="1" applyAlignment="1">
      <alignment horizontal="center"/>
    </xf>
    <xf numFmtId="172" fontId="0" fillId="10" borderId="0" xfId="0" applyNumberFormat="1" applyFill="1"/>
    <xf numFmtId="0" fontId="5" fillId="11" borderId="0" xfId="1" quotePrefix="1" applyFont="1" applyFill="1" applyBorder="1" applyAlignment="1">
      <alignment horizontal="left" wrapText="1"/>
    </xf>
    <xf numFmtId="0" fontId="5" fillId="11" borderId="0" xfId="1" applyFont="1" applyFill="1" applyBorder="1"/>
    <xf numFmtId="166" fontId="1" fillId="12" borderId="2" xfId="0" applyNumberFormat="1" applyFont="1" applyFill="1" applyBorder="1" applyAlignment="1">
      <alignment horizontal="center"/>
    </xf>
    <xf numFmtId="166" fontId="1" fillId="11" borderId="0" xfId="0" applyNumberFormat="1" applyFont="1" applyFill="1" applyBorder="1" applyAlignment="1">
      <alignment horizontal="center"/>
    </xf>
    <xf numFmtId="0" fontId="1" fillId="11" borderId="1" xfId="0" applyFont="1" applyFill="1" applyBorder="1"/>
    <xf numFmtId="164" fontId="1" fillId="11" borderId="0" xfId="0" applyNumberFormat="1" applyFont="1" applyFill="1" applyBorder="1" applyAlignment="1">
      <alignment horizontal="center"/>
    </xf>
    <xf numFmtId="172" fontId="0" fillId="11" borderId="0" xfId="0" applyNumberFormat="1" applyFill="1" applyBorder="1"/>
    <xf numFmtId="171" fontId="0" fillId="11" borderId="0" xfId="0" applyNumberFormat="1" applyFill="1" applyBorder="1"/>
    <xf numFmtId="167" fontId="0" fillId="11" borderId="0" xfId="0" applyNumberFormat="1" applyFill="1" applyBorder="1" applyAlignment="1">
      <alignment horizontal="center"/>
    </xf>
    <xf numFmtId="164" fontId="0" fillId="11" borderId="0" xfId="0" applyNumberFormat="1" applyFill="1" applyBorder="1" applyAlignment="1">
      <alignment horizontal="center"/>
    </xf>
    <xf numFmtId="172" fontId="6" fillId="11" borderId="0" xfId="1" applyNumberFormat="1" applyFont="1" applyFill="1" applyBorder="1" applyAlignment="1">
      <alignment horizontal="center"/>
    </xf>
    <xf numFmtId="172" fontId="5" fillId="11" borderId="0" xfId="0" applyNumberFormat="1" applyFont="1" applyFill="1" applyBorder="1" applyAlignment="1">
      <alignment horizontal="center"/>
    </xf>
    <xf numFmtId="0" fontId="1" fillId="10" borderId="0" xfId="0" applyFont="1" applyFill="1" applyBorder="1" applyAlignment="1">
      <alignment horizontal="center"/>
    </xf>
    <xf numFmtId="172" fontId="0" fillId="10" borderId="0" xfId="0" applyNumberFormat="1" applyFill="1" applyBorder="1"/>
    <xf numFmtId="167" fontId="1" fillId="11" borderId="0" xfId="0" applyNumberFormat="1" applyFont="1" applyFill="1" applyBorder="1" applyAlignment="1">
      <alignment horizontal="center"/>
    </xf>
    <xf numFmtId="172" fontId="1" fillId="11" borderId="0" xfId="0" applyNumberFormat="1" applyFont="1" applyFill="1" applyBorder="1"/>
    <xf numFmtId="11" fontId="0" fillId="11" borderId="0" xfId="0" applyNumberFormat="1" applyFill="1" applyBorder="1" applyAlignment="1">
      <alignment horizontal="center"/>
    </xf>
    <xf numFmtId="174" fontId="0" fillId="11" borderId="0" xfId="0" applyNumberFormat="1" applyFill="1" applyBorder="1" applyAlignment="1">
      <alignment horizontal="center"/>
    </xf>
    <xf numFmtId="0" fontId="0" fillId="11" borderId="0" xfId="0" applyFill="1" applyBorder="1" applyAlignment="1">
      <alignment horizontal="center"/>
    </xf>
    <xf numFmtId="1" fontId="0" fillId="11" borderId="0" xfId="0" applyNumberFormat="1" applyFill="1" applyBorder="1" applyAlignment="1">
      <alignment horizontal="center"/>
    </xf>
    <xf numFmtId="171" fontId="1" fillId="11" borderId="0" xfId="0" applyNumberFormat="1" applyFont="1" applyFill="1" applyBorder="1" applyAlignment="1">
      <alignment horizontal="center"/>
    </xf>
    <xf numFmtId="173" fontId="0" fillId="32" borderId="1" xfId="0" applyNumberFormat="1" applyFill="1" applyBorder="1" applyAlignment="1">
      <alignment horizontal="center"/>
    </xf>
    <xf numFmtId="173" fontId="1" fillId="18" borderId="1" xfId="0" applyNumberFormat="1" applyFont="1" applyFill="1" applyBorder="1"/>
    <xf numFmtId="0" fontId="6" fillId="9" borderId="0" xfId="1" applyFont="1" applyFill="1" applyBorder="1"/>
    <xf numFmtId="11" fontId="6" fillId="9" borderId="0" xfId="1" applyNumberFormat="1" applyFont="1" applyFill="1" applyBorder="1"/>
    <xf numFmtId="0" fontId="9" fillId="9" borderId="0" xfId="1" applyFont="1" applyFill="1" applyBorder="1" applyAlignment="1">
      <alignment horizontal="center" wrapText="1"/>
    </xf>
    <xf numFmtId="0" fontId="6" fillId="9" borderId="0" xfId="1" applyFont="1" applyFill="1" applyBorder="1" applyAlignment="1">
      <alignment wrapText="1"/>
    </xf>
    <xf numFmtId="2" fontId="8" fillId="9" borderId="0" xfId="1" applyNumberFormat="1" applyFont="1" applyFill="1" applyBorder="1" applyAlignment="1">
      <alignment horizontal="center"/>
    </xf>
    <xf numFmtId="11" fontId="6" fillId="9" borderId="0" xfId="1" applyNumberFormat="1" applyFont="1" applyFill="1" applyBorder="1" applyAlignment="1">
      <alignment horizontal="center"/>
    </xf>
    <xf numFmtId="168" fontId="6" fillId="9" borderId="0" xfId="1" applyNumberFormat="1" applyFont="1" applyFill="1" applyBorder="1" applyAlignment="1">
      <alignment horizontal="center"/>
    </xf>
    <xf numFmtId="0" fontId="6" fillId="9" borderId="0" xfId="1" applyFont="1" applyFill="1" applyBorder="1" applyAlignment="1">
      <alignment horizontal="center"/>
    </xf>
    <xf numFmtId="169" fontId="6" fillId="9" borderId="0" xfId="1" applyNumberFormat="1" applyFont="1" applyFill="1" applyBorder="1" applyAlignment="1" applyProtection="1">
      <alignment horizontal="center"/>
    </xf>
    <xf numFmtId="0" fontId="6" fillId="9" borderId="0" xfId="1" quotePrefix="1" applyFont="1" applyFill="1" applyBorder="1" applyAlignment="1">
      <alignment horizontal="left" wrapText="1"/>
    </xf>
    <xf numFmtId="0" fontId="6" fillId="9" borderId="0" xfId="1" applyFont="1" applyFill="1" applyBorder="1" applyAlignment="1" applyProtection="1">
      <alignment horizontal="center"/>
    </xf>
    <xf numFmtId="0" fontId="6" fillId="9" borderId="0" xfId="1" applyFont="1" applyFill="1" applyBorder="1" applyAlignment="1">
      <alignment horizontal="left" wrapText="1"/>
    </xf>
    <xf numFmtId="2" fontId="8" fillId="9" borderId="0" xfId="1" applyNumberFormat="1" applyFont="1" applyFill="1" applyBorder="1" applyAlignment="1">
      <alignment horizontal="center" vertical="top" wrapText="1"/>
    </xf>
    <xf numFmtId="11" fontId="6" fillId="9" borderId="0" xfId="1" applyNumberFormat="1" applyFont="1" applyFill="1" applyBorder="1" applyAlignment="1">
      <alignment horizontal="center" vertical="top" wrapText="1"/>
    </xf>
    <xf numFmtId="0" fontId="6" fillId="9" borderId="0" xfId="1" applyNumberFormat="1" applyFont="1" applyFill="1" applyBorder="1" applyAlignment="1"/>
    <xf numFmtId="2" fontId="6" fillId="9" borderId="0" xfId="1" applyNumberFormat="1" applyFont="1" applyFill="1" applyBorder="1" applyAlignment="1" applyProtection="1">
      <alignment horizontal="center"/>
    </xf>
    <xf numFmtId="2" fontId="8" fillId="9" borderId="0" xfId="1" applyNumberFormat="1" applyFont="1" applyFill="1" applyBorder="1" applyAlignment="1">
      <alignment horizontal="center" vertical="top"/>
    </xf>
    <xf numFmtId="2" fontId="6" fillId="9" borderId="0" xfId="1" applyNumberFormat="1" applyFont="1" applyFill="1" applyBorder="1" applyAlignment="1">
      <alignment horizontal="center"/>
    </xf>
    <xf numFmtId="170" fontId="6" fillId="9" borderId="0" xfId="1" applyNumberFormat="1" applyFont="1" applyFill="1" applyBorder="1" applyAlignment="1">
      <alignment horizontal="center"/>
    </xf>
    <xf numFmtId="171" fontId="6" fillId="9" borderId="0" xfId="1" applyNumberFormat="1" applyFont="1" applyFill="1" applyBorder="1" applyAlignment="1">
      <alignment horizontal="center"/>
    </xf>
    <xf numFmtId="170" fontId="6" fillId="9" borderId="0" xfId="1" applyNumberFormat="1" applyFont="1" applyFill="1" applyBorder="1"/>
    <xf numFmtId="166" fontId="1" fillId="10" borderId="0" xfId="0" applyNumberFormat="1" applyFont="1" applyFill="1" applyBorder="1" applyAlignment="1">
      <alignment horizontal="center"/>
    </xf>
    <xf numFmtId="1" fontId="1" fillId="10" borderId="0" xfId="0" applyNumberFormat="1" applyFont="1" applyFill="1" applyBorder="1" applyAlignment="1">
      <alignment horizontal="center"/>
    </xf>
    <xf numFmtId="164" fontId="1" fillId="10" borderId="1" xfId="0" applyNumberFormat="1" applyFont="1" applyFill="1" applyBorder="1" applyAlignment="1">
      <alignment horizontal="center"/>
    </xf>
    <xf numFmtId="172" fontId="1" fillId="10" borderId="1" xfId="0" applyNumberFormat="1" applyFont="1" applyFill="1" applyBorder="1" applyAlignment="1">
      <alignment horizontal="center"/>
    </xf>
    <xf numFmtId="173" fontId="1" fillId="11" borderId="0" xfId="0" applyNumberFormat="1" applyFont="1" applyFill="1" applyBorder="1" applyAlignment="1">
      <alignment horizontal="center"/>
    </xf>
    <xf numFmtId="2" fontId="1" fillId="10" borderId="0" xfId="0" applyNumberFormat="1" applyFont="1" applyFill="1" applyBorder="1" applyAlignment="1">
      <alignment horizontal="center"/>
    </xf>
    <xf numFmtId="173" fontId="1" fillId="11" borderId="0" xfId="0" applyNumberFormat="1" applyFont="1" applyFill="1" applyBorder="1"/>
    <xf numFmtId="0" fontId="6" fillId="0" borderId="0" xfId="1" applyFont="1" applyBorder="1"/>
    <xf numFmtId="0" fontId="6" fillId="0" borderId="0" xfId="1" applyFont="1" applyBorder="1" applyAlignment="1">
      <alignment horizontal="center"/>
    </xf>
    <xf numFmtId="171" fontId="6" fillId="0" borderId="0" xfId="1" applyNumberFormat="1" applyFont="1" applyBorder="1" applyAlignment="1">
      <alignment horizontal="center"/>
    </xf>
    <xf numFmtId="2" fontId="6" fillId="0" borderId="0" xfId="1" applyNumberFormat="1" applyFont="1" applyBorder="1" applyAlignment="1">
      <alignment horizontal="center"/>
    </xf>
    <xf numFmtId="171" fontId="6" fillId="0" borderId="0" xfId="1" applyNumberFormat="1" applyFont="1" applyBorder="1"/>
    <xf numFmtId="0" fontId="6" fillId="0" borderId="0" xfId="1" applyFont="1" applyFill="1"/>
    <xf numFmtId="169" fontId="6" fillId="0" borderId="0" xfId="1" applyNumberFormat="1" applyFont="1" applyFill="1" applyBorder="1" applyAlignment="1" applyProtection="1">
      <alignment horizontal="center"/>
    </xf>
    <xf numFmtId="0" fontId="6" fillId="0" borderId="0" xfId="1" applyFont="1" applyFill="1" applyBorder="1"/>
    <xf numFmtId="169" fontId="6" fillId="0" borderId="0" xfId="1" applyNumberFormat="1" applyFont="1" applyFill="1" applyProtection="1"/>
    <xf numFmtId="0" fontId="0" fillId="26" borderId="1" xfId="0" applyNumberFormat="1" applyFill="1" applyBorder="1"/>
    <xf numFmtId="0" fontId="22" fillId="9" borderId="0" xfId="0" applyFont="1" applyFill="1"/>
    <xf numFmtId="0" fontId="27" fillId="10" borderId="0" xfId="0" applyFont="1" applyFill="1"/>
    <xf numFmtId="0" fontId="28" fillId="0" borderId="1" xfId="0" applyFont="1" applyFill="1" applyBorder="1" applyAlignment="1">
      <alignment horizontal="center"/>
    </xf>
    <xf numFmtId="0" fontId="1" fillId="14" borderId="1" xfId="0" applyNumberFormat="1" applyFont="1" applyFill="1" applyBorder="1" applyAlignment="1" applyProtection="1">
      <alignment horizontal="center"/>
      <protection locked="0"/>
    </xf>
    <xf numFmtId="0" fontId="0" fillId="17" borderId="1" xfId="0" applyFill="1" applyBorder="1" applyAlignment="1">
      <alignment horizontal="center"/>
    </xf>
    <xf numFmtId="0" fontId="1" fillId="10" borderId="0" xfId="0" applyFont="1" applyFill="1" applyBorder="1" applyAlignment="1">
      <alignment horizontal="center"/>
    </xf>
    <xf numFmtId="0" fontId="27" fillId="10" borderId="0" xfId="0" applyFont="1" applyFill="1" applyBorder="1"/>
    <xf numFmtId="0" fontId="15" fillId="9" borderId="0" xfId="0" applyFont="1" applyFill="1" applyAlignment="1">
      <alignment wrapText="1"/>
    </xf>
    <xf numFmtId="0" fontId="0" fillId="9" borderId="0" xfId="0" applyFill="1" applyAlignment="1">
      <alignment wrapText="1"/>
    </xf>
    <xf numFmtId="0" fontId="0" fillId="0" borderId="0" xfId="0" applyAlignment="1">
      <alignment wrapText="1"/>
    </xf>
    <xf numFmtId="0" fontId="15" fillId="9" borderId="0" xfId="0" applyFont="1" applyFill="1" applyAlignment="1">
      <alignment horizontal="left" wrapText="1"/>
    </xf>
    <xf numFmtId="0" fontId="21" fillId="13" borderId="5" xfId="0" applyFont="1" applyFill="1" applyBorder="1" applyAlignment="1" applyProtection="1">
      <alignment horizontal="center"/>
    </xf>
    <xf numFmtId="0" fontId="21" fillId="13" borderId="4" xfId="0" applyFont="1" applyFill="1" applyBorder="1" applyAlignment="1" applyProtection="1">
      <alignment horizontal="center"/>
    </xf>
    <xf numFmtId="0" fontId="1" fillId="10" borderId="0" xfId="0" applyFont="1" applyFill="1" applyAlignment="1">
      <alignment wrapText="1"/>
    </xf>
    <xf numFmtId="0" fontId="4" fillId="10" borderId="0" xfId="0" applyFont="1" applyFill="1" applyAlignment="1">
      <alignment wrapText="1"/>
    </xf>
    <xf numFmtId="0" fontId="21" fillId="30" borderId="11" xfId="0" applyFont="1" applyFill="1" applyBorder="1" applyAlignment="1">
      <alignment horizontal="center"/>
    </xf>
    <xf numFmtId="0" fontId="21" fillId="30" borderId="12" xfId="0" applyFont="1" applyFill="1" applyBorder="1" applyAlignment="1">
      <alignment horizontal="center"/>
    </xf>
    <xf numFmtId="0" fontId="21" fillId="30" borderId="13" xfId="0" applyFont="1" applyFill="1" applyBorder="1" applyAlignment="1">
      <alignment horizontal="center"/>
    </xf>
    <xf numFmtId="0" fontId="4" fillId="17" borderId="1" xfId="0" applyFont="1" applyFill="1" applyBorder="1" applyAlignment="1">
      <alignment horizontal="center"/>
    </xf>
    <xf numFmtId="0" fontId="0" fillId="10" borderId="4" xfId="0" applyFill="1" applyBorder="1" applyAlignment="1">
      <alignment horizontal="center"/>
    </xf>
    <xf numFmtId="0" fontId="21" fillId="22" borderId="4" xfId="0" applyFont="1" applyFill="1" applyBorder="1" applyAlignment="1">
      <alignment horizontal="center"/>
    </xf>
    <xf numFmtId="0" fontId="22" fillId="10" borderId="4" xfId="0" applyFont="1" applyFill="1" applyBorder="1" applyAlignment="1">
      <alignment horizontal="center"/>
    </xf>
    <xf numFmtId="0" fontId="1" fillId="24" borderId="1" xfId="0" applyFont="1" applyFill="1" applyBorder="1" applyAlignment="1">
      <alignment horizontal="center"/>
    </xf>
    <xf numFmtId="0" fontId="1" fillId="10" borderId="0" xfId="0" applyFont="1" applyFill="1" applyBorder="1" applyAlignment="1">
      <alignment horizontal="center"/>
    </xf>
    <xf numFmtId="0" fontId="21" fillId="0" borderId="0" xfId="0" applyFont="1" applyFill="1" applyBorder="1" applyAlignment="1" applyProtection="1">
      <alignment horizontal="center"/>
    </xf>
    <xf numFmtId="0" fontId="22" fillId="0" borderId="0" xfId="0" applyFont="1" applyFill="1" applyBorder="1" applyAlignment="1">
      <alignment horizontal="center"/>
    </xf>
    <xf numFmtId="0" fontId="26" fillId="9" borderId="0" xfId="1" applyFont="1" applyFill="1" applyBorder="1" applyAlignment="1">
      <alignment horizontal="center"/>
    </xf>
    <xf numFmtId="0" fontId="6" fillId="0" borderId="6" xfId="1" applyFont="1" applyBorder="1" applyAlignment="1">
      <alignment horizontal="left"/>
    </xf>
    <xf numFmtId="0" fontId="0" fillId="0" borderId="0" xfId="0" applyAlignment="1">
      <alignment horizontal="left"/>
    </xf>
    <xf numFmtId="0" fontId="0" fillId="0" borderId="0" xfId="0" applyAlignment="1"/>
    <xf numFmtId="0" fontId="6" fillId="0" borderId="0" xfId="1" applyFont="1" applyBorder="1" applyAlignment="1">
      <alignment horizontal="left" wrapText="1"/>
    </xf>
    <xf numFmtId="0" fontId="11" fillId="25" borderId="7" xfId="1" applyFont="1" applyFill="1" applyBorder="1" applyAlignment="1">
      <alignment horizontal="center"/>
    </xf>
    <xf numFmtId="0" fontId="11" fillId="25" borderId="8" xfId="1" applyFont="1" applyFill="1" applyBorder="1" applyAlignment="1">
      <alignment horizontal="center"/>
    </xf>
    <xf numFmtId="0" fontId="11" fillId="25" borderId="9" xfId="1" applyFont="1" applyFill="1" applyBorder="1" applyAlignment="1">
      <alignment horizontal="center"/>
    </xf>
  </cellXfs>
  <cellStyles count="2">
    <cellStyle name="Normal" xfId="0" builtinId="0"/>
    <cellStyle name="Normal_Chemprp8" xfId="1"/>
  </cellStyles>
  <dxfs count="0"/>
  <tableStyles count="0" defaultTableStyle="TableStyleMedium9" defaultPivotStyle="PivotStyleLight16"/>
  <colors>
    <mruColors>
      <color rgb="FF0000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228600</xdr:colOff>
      <xdr:row>4</xdr:row>
      <xdr:rowOff>95249</xdr:rowOff>
    </xdr:from>
    <xdr:to>
      <xdr:col>2</xdr:col>
      <xdr:colOff>152400</xdr:colOff>
      <xdr:row>9</xdr:row>
      <xdr:rowOff>0</xdr:rowOff>
    </xdr:to>
    <xdr:sp macro="" textlink="">
      <xdr:nvSpPr>
        <xdr:cNvPr id="2" name="Rounded Rectangle 1"/>
        <xdr:cNvSpPr/>
      </xdr:nvSpPr>
      <xdr:spPr>
        <a:xfrm>
          <a:off x="228600" y="876299"/>
          <a:ext cx="1143000" cy="71437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Process Wastewater</a:t>
          </a:r>
        </a:p>
      </xdr:txBody>
    </xdr:sp>
    <xdr:clientData/>
  </xdr:twoCellAnchor>
  <xdr:twoCellAnchor>
    <xdr:from>
      <xdr:col>4</xdr:col>
      <xdr:colOff>476250</xdr:colOff>
      <xdr:row>4</xdr:row>
      <xdr:rowOff>19050</xdr:rowOff>
    </xdr:from>
    <xdr:to>
      <xdr:col>6</xdr:col>
      <xdr:colOff>542925</xdr:colOff>
      <xdr:row>9</xdr:row>
      <xdr:rowOff>76200</xdr:rowOff>
    </xdr:to>
    <xdr:sp macro="" textlink="">
      <xdr:nvSpPr>
        <xdr:cNvPr id="3" name="Rectangle 2"/>
        <xdr:cNvSpPr/>
      </xdr:nvSpPr>
      <xdr:spPr>
        <a:xfrm>
          <a:off x="2914650" y="800100"/>
          <a:ext cx="1285875" cy="9239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Collection System</a:t>
          </a:r>
        </a:p>
        <a:p>
          <a:pPr algn="ctr"/>
          <a:r>
            <a:rPr lang="en-US" sz="1100"/>
            <a:t>(weirs,</a:t>
          </a:r>
          <a:r>
            <a:rPr lang="en-US" sz="1100" baseline="0"/>
            <a:t> junction boxes, lift stations &amp; sumps)</a:t>
          </a:r>
          <a:endParaRPr lang="en-US" sz="1100"/>
        </a:p>
      </xdr:txBody>
    </xdr:sp>
    <xdr:clientData/>
  </xdr:twoCellAnchor>
  <xdr:twoCellAnchor>
    <xdr:from>
      <xdr:col>10</xdr:col>
      <xdr:colOff>542925</xdr:colOff>
      <xdr:row>4</xdr:row>
      <xdr:rowOff>95250</xdr:rowOff>
    </xdr:from>
    <xdr:to>
      <xdr:col>13</xdr:col>
      <xdr:colOff>19050</xdr:colOff>
      <xdr:row>9</xdr:row>
      <xdr:rowOff>9525</xdr:rowOff>
    </xdr:to>
    <xdr:sp macro="" textlink="">
      <xdr:nvSpPr>
        <xdr:cNvPr id="4" name="Rectangle 3"/>
        <xdr:cNvSpPr/>
      </xdr:nvSpPr>
      <xdr:spPr>
        <a:xfrm>
          <a:off x="6638925" y="876300"/>
          <a:ext cx="1304925" cy="781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Oil-water Separators</a:t>
          </a:r>
        </a:p>
      </xdr:txBody>
    </xdr:sp>
    <xdr:clientData/>
  </xdr:twoCellAnchor>
  <xdr:twoCellAnchor>
    <xdr:from>
      <xdr:col>0</xdr:col>
      <xdr:colOff>95250</xdr:colOff>
      <xdr:row>16</xdr:row>
      <xdr:rowOff>104775</xdr:rowOff>
    </xdr:from>
    <xdr:to>
      <xdr:col>2</xdr:col>
      <xdr:colOff>171450</xdr:colOff>
      <xdr:row>21</xdr:row>
      <xdr:rowOff>76200</xdr:rowOff>
    </xdr:to>
    <xdr:sp macro="" textlink="">
      <xdr:nvSpPr>
        <xdr:cNvPr id="5" name="Rectangle 4"/>
        <xdr:cNvSpPr/>
      </xdr:nvSpPr>
      <xdr:spPr>
        <a:xfrm>
          <a:off x="95250" y="3019425"/>
          <a:ext cx="1295400" cy="781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Dissolved Air Floatation Units</a:t>
          </a:r>
        </a:p>
      </xdr:txBody>
    </xdr:sp>
    <xdr:clientData/>
  </xdr:twoCellAnchor>
  <xdr:twoCellAnchor>
    <xdr:from>
      <xdr:col>4</xdr:col>
      <xdr:colOff>152400</xdr:colOff>
      <xdr:row>16</xdr:row>
      <xdr:rowOff>114300</xdr:rowOff>
    </xdr:from>
    <xdr:to>
      <xdr:col>6</xdr:col>
      <xdr:colOff>238125</xdr:colOff>
      <xdr:row>21</xdr:row>
      <xdr:rowOff>95250</xdr:rowOff>
    </xdr:to>
    <xdr:sp macro="" textlink="">
      <xdr:nvSpPr>
        <xdr:cNvPr id="6" name="Rectangle 5"/>
        <xdr:cNvSpPr/>
      </xdr:nvSpPr>
      <xdr:spPr>
        <a:xfrm>
          <a:off x="2590800" y="3028950"/>
          <a:ext cx="1304925" cy="7905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Equalization</a:t>
          </a:r>
          <a:r>
            <a:rPr lang="en-US" sz="1100" baseline="0"/>
            <a:t> Tanks</a:t>
          </a:r>
          <a:endParaRPr lang="en-US" sz="1100"/>
        </a:p>
      </xdr:txBody>
    </xdr:sp>
    <xdr:clientData/>
  </xdr:twoCellAnchor>
  <xdr:twoCellAnchor>
    <xdr:from>
      <xdr:col>8</xdr:col>
      <xdr:colOff>28576</xdr:colOff>
      <xdr:row>16</xdr:row>
      <xdr:rowOff>104775</xdr:rowOff>
    </xdr:from>
    <xdr:to>
      <xdr:col>10</xdr:col>
      <xdr:colOff>114300</xdr:colOff>
      <xdr:row>21</xdr:row>
      <xdr:rowOff>123825</xdr:rowOff>
    </xdr:to>
    <xdr:sp macro="" textlink="">
      <xdr:nvSpPr>
        <xdr:cNvPr id="7" name="Rectangle 6"/>
        <xdr:cNvSpPr/>
      </xdr:nvSpPr>
      <xdr:spPr>
        <a:xfrm>
          <a:off x="4905376" y="3019425"/>
          <a:ext cx="1304924" cy="8286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Biological Treatment Units</a:t>
          </a:r>
        </a:p>
      </xdr:txBody>
    </xdr:sp>
    <xdr:clientData/>
  </xdr:twoCellAnchor>
  <xdr:twoCellAnchor>
    <xdr:from>
      <xdr:col>2</xdr:col>
      <xdr:colOff>152400</xdr:colOff>
      <xdr:row>6</xdr:row>
      <xdr:rowOff>157162</xdr:rowOff>
    </xdr:from>
    <xdr:to>
      <xdr:col>4</xdr:col>
      <xdr:colOff>476250</xdr:colOff>
      <xdr:row>6</xdr:row>
      <xdr:rowOff>157163</xdr:rowOff>
    </xdr:to>
    <xdr:cxnSp macro="">
      <xdr:nvCxnSpPr>
        <xdr:cNvPr id="11" name="Straight Arrow Connector 10"/>
        <xdr:cNvCxnSpPr>
          <a:stCxn id="2" idx="3"/>
          <a:endCxn id="3" idx="1"/>
        </xdr:cNvCxnSpPr>
      </xdr:nvCxnSpPr>
      <xdr:spPr>
        <a:xfrm>
          <a:off x="1371600" y="1262062"/>
          <a:ext cx="1543050" cy="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542925</xdr:colOff>
      <xdr:row>6</xdr:row>
      <xdr:rowOff>157163</xdr:rowOff>
    </xdr:from>
    <xdr:to>
      <xdr:col>10</xdr:col>
      <xdr:colOff>542925</xdr:colOff>
      <xdr:row>7</xdr:row>
      <xdr:rowOff>0</xdr:rowOff>
    </xdr:to>
    <xdr:cxnSp macro="">
      <xdr:nvCxnSpPr>
        <xdr:cNvPr id="13" name="Straight Arrow Connector 12"/>
        <xdr:cNvCxnSpPr>
          <a:stCxn id="3" idx="3"/>
          <a:endCxn id="4" idx="1"/>
        </xdr:cNvCxnSpPr>
      </xdr:nvCxnSpPr>
      <xdr:spPr>
        <a:xfrm>
          <a:off x="4200525" y="1262063"/>
          <a:ext cx="2438400" cy="476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7</xdr:row>
      <xdr:rowOff>0</xdr:rowOff>
    </xdr:from>
    <xdr:to>
      <xdr:col>13</xdr:col>
      <xdr:colOff>19050</xdr:colOff>
      <xdr:row>16</xdr:row>
      <xdr:rowOff>104775</xdr:rowOff>
    </xdr:to>
    <xdr:cxnSp macro="">
      <xdr:nvCxnSpPr>
        <xdr:cNvPr id="17" name="Elbow Connector 16"/>
        <xdr:cNvCxnSpPr>
          <a:stCxn id="4" idx="3"/>
          <a:endCxn id="5" idx="0"/>
        </xdr:cNvCxnSpPr>
      </xdr:nvCxnSpPr>
      <xdr:spPr>
        <a:xfrm flipH="1">
          <a:off x="742950" y="1400175"/>
          <a:ext cx="7200900" cy="1619250"/>
        </a:xfrm>
        <a:prstGeom prst="bentConnector4">
          <a:avLst>
            <a:gd name="adj1" fmla="val -3175"/>
            <a:gd name="adj2" fmla="val 62059"/>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171450</xdr:colOff>
      <xdr:row>19</xdr:row>
      <xdr:rowOff>9525</xdr:rowOff>
    </xdr:from>
    <xdr:to>
      <xdr:col>4</xdr:col>
      <xdr:colOff>152400</xdr:colOff>
      <xdr:row>19</xdr:row>
      <xdr:rowOff>23813</xdr:rowOff>
    </xdr:to>
    <xdr:cxnSp macro="">
      <xdr:nvCxnSpPr>
        <xdr:cNvPr id="23" name="Straight Arrow Connector 22"/>
        <xdr:cNvCxnSpPr>
          <a:stCxn id="5" idx="3"/>
          <a:endCxn id="6" idx="1"/>
        </xdr:cNvCxnSpPr>
      </xdr:nvCxnSpPr>
      <xdr:spPr>
        <a:xfrm>
          <a:off x="1390650" y="3409950"/>
          <a:ext cx="1200150" cy="142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238125</xdr:colOff>
      <xdr:row>19</xdr:row>
      <xdr:rowOff>23813</xdr:rowOff>
    </xdr:from>
    <xdr:to>
      <xdr:col>8</xdr:col>
      <xdr:colOff>28576</xdr:colOff>
      <xdr:row>19</xdr:row>
      <xdr:rowOff>33338</xdr:rowOff>
    </xdr:to>
    <xdr:cxnSp macro="">
      <xdr:nvCxnSpPr>
        <xdr:cNvPr id="25" name="Straight Arrow Connector 24"/>
        <xdr:cNvCxnSpPr>
          <a:stCxn id="6" idx="3"/>
          <a:endCxn id="7" idx="1"/>
        </xdr:cNvCxnSpPr>
      </xdr:nvCxnSpPr>
      <xdr:spPr>
        <a:xfrm>
          <a:off x="3895725" y="3424238"/>
          <a:ext cx="1009651"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104775</xdr:colOff>
      <xdr:row>19</xdr:row>
      <xdr:rowOff>33338</xdr:rowOff>
    </xdr:from>
    <xdr:to>
      <xdr:col>11</xdr:col>
      <xdr:colOff>314325</xdr:colOff>
      <xdr:row>19</xdr:row>
      <xdr:rowOff>38100</xdr:rowOff>
    </xdr:to>
    <xdr:cxnSp macro="">
      <xdr:nvCxnSpPr>
        <xdr:cNvPr id="27" name="Straight Arrow Connector 26"/>
        <xdr:cNvCxnSpPr/>
      </xdr:nvCxnSpPr>
      <xdr:spPr>
        <a:xfrm>
          <a:off x="6200775" y="3433763"/>
          <a:ext cx="819150" cy="476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195262</xdr:colOff>
      <xdr:row>15</xdr:row>
      <xdr:rowOff>61914</xdr:rowOff>
    </xdr:from>
    <xdr:to>
      <xdr:col>5</xdr:col>
      <xdr:colOff>552449</xdr:colOff>
      <xdr:row>16</xdr:row>
      <xdr:rowOff>114301</xdr:rowOff>
    </xdr:to>
    <xdr:cxnSp macro="">
      <xdr:nvCxnSpPr>
        <xdr:cNvPr id="29" name="Shape 28"/>
        <xdr:cNvCxnSpPr>
          <a:stCxn id="6" idx="0"/>
          <a:endCxn id="41" idx="1"/>
        </xdr:cNvCxnSpPr>
      </xdr:nvCxnSpPr>
      <xdr:spPr>
        <a:xfrm rot="5400000" flipH="1" flipV="1">
          <a:off x="3314700" y="2743201"/>
          <a:ext cx="214312" cy="357187"/>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71438</xdr:colOff>
      <xdr:row>15</xdr:row>
      <xdr:rowOff>42864</xdr:rowOff>
    </xdr:from>
    <xdr:to>
      <xdr:col>9</xdr:col>
      <xdr:colOff>600075</xdr:colOff>
      <xdr:row>16</xdr:row>
      <xdr:rowOff>104776</xdr:rowOff>
    </xdr:to>
    <xdr:cxnSp macro="">
      <xdr:nvCxnSpPr>
        <xdr:cNvPr id="31" name="Shape 30"/>
        <xdr:cNvCxnSpPr>
          <a:stCxn id="7" idx="0"/>
          <a:endCxn id="39" idx="1"/>
        </xdr:cNvCxnSpPr>
      </xdr:nvCxnSpPr>
      <xdr:spPr>
        <a:xfrm rot="5400000" flipH="1" flipV="1">
          <a:off x="5710238" y="2643189"/>
          <a:ext cx="223837" cy="528637"/>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38100</xdr:colOff>
      <xdr:row>1</xdr:row>
      <xdr:rowOff>66675</xdr:rowOff>
    </xdr:from>
    <xdr:to>
      <xdr:col>7</xdr:col>
      <xdr:colOff>514350</xdr:colOff>
      <xdr:row>3</xdr:row>
      <xdr:rowOff>19050</xdr:rowOff>
    </xdr:to>
    <xdr:sp macro="" textlink="">
      <xdr:nvSpPr>
        <xdr:cNvPr id="37" name="Rectangle 36"/>
        <xdr:cNvSpPr/>
      </xdr:nvSpPr>
      <xdr:spPr>
        <a:xfrm>
          <a:off x="3695700" y="495300"/>
          <a:ext cx="1085850" cy="276225"/>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rtlCol="0" anchor="ctr"/>
        <a:lstStyle/>
        <a:p>
          <a:pPr algn="ctr"/>
          <a:r>
            <a:rPr lang="en-US" sz="1100"/>
            <a:t>Air</a:t>
          </a:r>
          <a:r>
            <a:rPr lang="en-US" sz="1100" baseline="0"/>
            <a:t> Emissions</a:t>
          </a:r>
          <a:endParaRPr lang="en-US" sz="1100"/>
        </a:p>
      </xdr:txBody>
    </xdr:sp>
    <xdr:clientData/>
  </xdr:twoCellAnchor>
  <xdr:twoCellAnchor>
    <xdr:from>
      <xdr:col>12</xdr:col>
      <xdr:colOff>285750</xdr:colOff>
      <xdr:row>1</xdr:row>
      <xdr:rowOff>123825</xdr:rowOff>
    </xdr:from>
    <xdr:to>
      <xdr:col>14</xdr:col>
      <xdr:colOff>152400</xdr:colOff>
      <xdr:row>3</xdr:row>
      <xdr:rowOff>76200</xdr:rowOff>
    </xdr:to>
    <xdr:sp macro="" textlink="">
      <xdr:nvSpPr>
        <xdr:cNvPr id="38" name="Rectangle 37"/>
        <xdr:cNvSpPr/>
      </xdr:nvSpPr>
      <xdr:spPr>
        <a:xfrm>
          <a:off x="7600950" y="552450"/>
          <a:ext cx="1085850" cy="276225"/>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rtlCol="0" anchor="ctr"/>
        <a:lstStyle/>
        <a:p>
          <a:pPr algn="ctr"/>
          <a:r>
            <a:rPr lang="en-US" sz="1100"/>
            <a:t>Air</a:t>
          </a:r>
          <a:r>
            <a:rPr lang="en-US" sz="1100" baseline="0"/>
            <a:t> Emissions</a:t>
          </a:r>
          <a:endParaRPr lang="en-US" sz="1100"/>
        </a:p>
      </xdr:txBody>
    </xdr:sp>
    <xdr:clientData/>
  </xdr:twoCellAnchor>
  <xdr:twoCellAnchor>
    <xdr:from>
      <xdr:col>9</xdr:col>
      <xdr:colOff>600075</xdr:colOff>
      <xdr:row>14</xdr:row>
      <xdr:rowOff>66675</xdr:rowOff>
    </xdr:from>
    <xdr:to>
      <xdr:col>11</xdr:col>
      <xdr:colOff>466725</xdr:colOff>
      <xdr:row>16</xdr:row>
      <xdr:rowOff>19050</xdr:rowOff>
    </xdr:to>
    <xdr:sp macro="" textlink="">
      <xdr:nvSpPr>
        <xdr:cNvPr id="39" name="Rectangle 38"/>
        <xdr:cNvSpPr/>
      </xdr:nvSpPr>
      <xdr:spPr>
        <a:xfrm>
          <a:off x="6086475" y="2657475"/>
          <a:ext cx="1085850" cy="276225"/>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rtlCol="0" anchor="ctr"/>
        <a:lstStyle/>
        <a:p>
          <a:pPr algn="ctr"/>
          <a:r>
            <a:rPr lang="en-US" sz="1100"/>
            <a:t>Air</a:t>
          </a:r>
          <a:r>
            <a:rPr lang="en-US" sz="1100" baseline="0"/>
            <a:t> Emissions</a:t>
          </a:r>
          <a:endParaRPr lang="en-US" sz="1100"/>
        </a:p>
      </xdr:txBody>
    </xdr:sp>
    <xdr:clientData/>
  </xdr:twoCellAnchor>
  <xdr:twoCellAnchor>
    <xdr:from>
      <xdr:col>5</xdr:col>
      <xdr:colOff>552450</xdr:colOff>
      <xdr:row>14</xdr:row>
      <xdr:rowOff>85725</xdr:rowOff>
    </xdr:from>
    <xdr:to>
      <xdr:col>7</xdr:col>
      <xdr:colOff>419100</xdr:colOff>
      <xdr:row>16</xdr:row>
      <xdr:rowOff>38100</xdr:rowOff>
    </xdr:to>
    <xdr:sp macro="" textlink="">
      <xdr:nvSpPr>
        <xdr:cNvPr id="41" name="Rectangle 40"/>
        <xdr:cNvSpPr/>
      </xdr:nvSpPr>
      <xdr:spPr>
        <a:xfrm>
          <a:off x="3600450" y="2676525"/>
          <a:ext cx="1085850" cy="276225"/>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rtlCol="0" anchor="ctr"/>
        <a:lstStyle/>
        <a:p>
          <a:pPr algn="ctr"/>
          <a:r>
            <a:rPr lang="en-US" sz="1100"/>
            <a:t>Air</a:t>
          </a:r>
          <a:r>
            <a:rPr lang="en-US" sz="1100" baseline="0"/>
            <a:t> Emissions</a:t>
          </a:r>
          <a:endParaRPr lang="en-US" sz="1100"/>
        </a:p>
      </xdr:txBody>
    </xdr:sp>
    <xdr:clientData/>
  </xdr:twoCellAnchor>
  <xdr:twoCellAnchor>
    <xdr:from>
      <xdr:col>2</xdr:col>
      <xdr:colOff>200025</xdr:colOff>
      <xdr:row>14</xdr:row>
      <xdr:rowOff>0</xdr:rowOff>
    </xdr:from>
    <xdr:to>
      <xdr:col>4</xdr:col>
      <xdr:colOff>66675</xdr:colOff>
      <xdr:row>15</xdr:row>
      <xdr:rowOff>114300</xdr:rowOff>
    </xdr:to>
    <xdr:sp macro="" textlink="">
      <xdr:nvSpPr>
        <xdr:cNvPr id="42" name="Rectangle 41"/>
        <xdr:cNvSpPr/>
      </xdr:nvSpPr>
      <xdr:spPr>
        <a:xfrm>
          <a:off x="1419225" y="2590800"/>
          <a:ext cx="1085850" cy="276225"/>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rtlCol="0" anchor="ctr"/>
        <a:lstStyle/>
        <a:p>
          <a:pPr algn="ctr"/>
          <a:r>
            <a:rPr lang="en-US" sz="1100"/>
            <a:t>Air</a:t>
          </a:r>
          <a:r>
            <a:rPr lang="en-US" sz="1100" baseline="0"/>
            <a:t> Emissions</a:t>
          </a:r>
          <a:endParaRPr lang="en-US" sz="1100"/>
        </a:p>
      </xdr:txBody>
    </xdr:sp>
    <xdr:clientData/>
  </xdr:twoCellAnchor>
  <xdr:twoCellAnchor>
    <xdr:from>
      <xdr:col>5</xdr:col>
      <xdr:colOff>161925</xdr:colOff>
      <xdr:row>2</xdr:row>
      <xdr:rowOff>42863</xdr:rowOff>
    </xdr:from>
    <xdr:to>
      <xdr:col>6</xdr:col>
      <xdr:colOff>38100</xdr:colOff>
      <xdr:row>4</xdr:row>
      <xdr:rowOff>0</xdr:rowOff>
    </xdr:to>
    <xdr:cxnSp macro="">
      <xdr:nvCxnSpPr>
        <xdr:cNvPr id="49" name="Elbow Connector 48"/>
        <xdr:cNvCxnSpPr>
          <a:endCxn id="37" idx="1"/>
        </xdr:cNvCxnSpPr>
      </xdr:nvCxnSpPr>
      <xdr:spPr>
        <a:xfrm flipV="1">
          <a:off x="3209925" y="633413"/>
          <a:ext cx="485775" cy="280987"/>
        </a:xfrm>
        <a:prstGeom prst="bentConnector3">
          <a:avLst>
            <a:gd name="adj1" fmla="val 5000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238125</xdr:colOff>
      <xdr:row>2</xdr:row>
      <xdr:rowOff>100013</xdr:rowOff>
    </xdr:from>
    <xdr:to>
      <xdr:col>12</xdr:col>
      <xdr:colOff>285750</xdr:colOff>
      <xdr:row>4</xdr:row>
      <xdr:rowOff>104775</xdr:rowOff>
    </xdr:to>
    <xdr:cxnSp macro="">
      <xdr:nvCxnSpPr>
        <xdr:cNvPr id="51" name="Elbow Connector 50"/>
        <xdr:cNvCxnSpPr>
          <a:endCxn id="38" idx="1"/>
        </xdr:cNvCxnSpPr>
      </xdr:nvCxnSpPr>
      <xdr:spPr>
        <a:xfrm flipV="1">
          <a:off x="6943725" y="690563"/>
          <a:ext cx="657225" cy="328612"/>
        </a:xfrm>
        <a:prstGeom prst="bentConnector3">
          <a:avLst>
            <a:gd name="adj1" fmla="val 5000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400050</xdr:colOff>
      <xdr:row>14</xdr:row>
      <xdr:rowOff>138113</xdr:rowOff>
    </xdr:from>
    <xdr:to>
      <xdr:col>2</xdr:col>
      <xdr:colOff>200025</xdr:colOff>
      <xdr:row>16</xdr:row>
      <xdr:rowOff>104775</xdr:rowOff>
    </xdr:to>
    <xdr:cxnSp macro="">
      <xdr:nvCxnSpPr>
        <xdr:cNvPr id="53" name="Elbow Connector 52"/>
        <xdr:cNvCxnSpPr>
          <a:endCxn id="42" idx="1"/>
        </xdr:cNvCxnSpPr>
      </xdr:nvCxnSpPr>
      <xdr:spPr>
        <a:xfrm flipV="1">
          <a:off x="1009650" y="2728913"/>
          <a:ext cx="409575" cy="290512"/>
        </a:xfrm>
        <a:prstGeom prst="bentConnector3">
          <a:avLst>
            <a:gd name="adj1" fmla="val 5000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542926</xdr:colOff>
      <xdr:row>9</xdr:row>
      <xdr:rowOff>123825</xdr:rowOff>
    </xdr:from>
    <xdr:to>
      <xdr:col>11</xdr:col>
      <xdr:colOff>285750</xdr:colOff>
      <xdr:row>11</xdr:row>
      <xdr:rowOff>85725</xdr:rowOff>
    </xdr:to>
    <xdr:sp macro="" textlink="">
      <xdr:nvSpPr>
        <xdr:cNvPr id="56" name="Rectangle 55"/>
        <xdr:cNvSpPr/>
      </xdr:nvSpPr>
      <xdr:spPr>
        <a:xfrm>
          <a:off x="6029326" y="1905000"/>
          <a:ext cx="962024" cy="28575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rtlCol="0" anchor="ctr"/>
        <a:lstStyle/>
        <a:p>
          <a:pPr algn="ctr"/>
          <a:r>
            <a:rPr lang="en-US" sz="1100"/>
            <a:t>Slop</a:t>
          </a:r>
          <a:r>
            <a:rPr lang="en-US" sz="1100" baseline="0"/>
            <a:t> Oil</a:t>
          </a:r>
          <a:endParaRPr lang="en-US" sz="1100"/>
        </a:p>
      </xdr:txBody>
    </xdr:sp>
    <xdr:clientData/>
  </xdr:twoCellAnchor>
  <xdr:twoCellAnchor>
    <xdr:from>
      <xdr:col>7</xdr:col>
      <xdr:colOff>200025</xdr:colOff>
      <xdr:row>22</xdr:row>
      <xdr:rowOff>133350</xdr:rowOff>
    </xdr:from>
    <xdr:to>
      <xdr:col>8</xdr:col>
      <xdr:colOff>552449</xdr:colOff>
      <xdr:row>24</xdr:row>
      <xdr:rowOff>95250</xdr:rowOff>
    </xdr:to>
    <xdr:sp macro="" textlink="">
      <xdr:nvSpPr>
        <xdr:cNvPr id="57" name="Rectangle 56"/>
        <xdr:cNvSpPr/>
      </xdr:nvSpPr>
      <xdr:spPr>
        <a:xfrm>
          <a:off x="4467225" y="4019550"/>
          <a:ext cx="962024" cy="28575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rtlCol="0" anchor="ctr"/>
        <a:lstStyle/>
        <a:p>
          <a:pPr algn="ctr"/>
          <a:r>
            <a:rPr lang="en-US" sz="1100"/>
            <a:t>Biosolids</a:t>
          </a:r>
        </a:p>
      </xdr:txBody>
    </xdr:sp>
    <xdr:clientData/>
  </xdr:twoCellAnchor>
  <xdr:twoCellAnchor>
    <xdr:from>
      <xdr:col>1</xdr:col>
      <xdr:colOff>514350</xdr:colOff>
      <xdr:row>22</xdr:row>
      <xdr:rowOff>95250</xdr:rowOff>
    </xdr:from>
    <xdr:to>
      <xdr:col>3</xdr:col>
      <xdr:colOff>257174</xdr:colOff>
      <xdr:row>24</xdr:row>
      <xdr:rowOff>57150</xdr:rowOff>
    </xdr:to>
    <xdr:sp macro="" textlink="">
      <xdr:nvSpPr>
        <xdr:cNvPr id="58" name="Rectangle 57"/>
        <xdr:cNvSpPr/>
      </xdr:nvSpPr>
      <xdr:spPr>
        <a:xfrm>
          <a:off x="1123950" y="3981450"/>
          <a:ext cx="962024" cy="28575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rtlCol="0" anchor="ctr"/>
        <a:lstStyle/>
        <a:p>
          <a:pPr algn="ctr"/>
          <a:r>
            <a:rPr lang="en-US" sz="1100"/>
            <a:t>Float</a:t>
          </a:r>
        </a:p>
      </xdr:txBody>
    </xdr:sp>
    <xdr:clientData/>
  </xdr:twoCellAnchor>
  <xdr:twoCellAnchor>
    <xdr:from>
      <xdr:col>11</xdr:col>
      <xdr:colOff>285751</xdr:colOff>
      <xdr:row>9</xdr:row>
      <xdr:rowOff>9524</xdr:rowOff>
    </xdr:from>
    <xdr:to>
      <xdr:col>11</xdr:col>
      <xdr:colOff>585789</xdr:colOff>
      <xdr:row>10</xdr:row>
      <xdr:rowOff>104774</xdr:rowOff>
    </xdr:to>
    <xdr:cxnSp macro="">
      <xdr:nvCxnSpPr>
        <xdr:cNvPr id="61" name="Elbow Connector 60"/>
        <xdr:cNvCxnSpPr>
          <a:stCxn id="4" idx="2"/>
          <a:endCxn id="56" idx="3"/>
        </xdr:cNvCxnSpPr>
      </xdr:nvCxnSpPr>
      <xdr:spPr>
        <a:xfrm rot="5400000">
          <a:off x="7012782" y="1769268"/>
          <a:ext cx="257175" cy="300038"/>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21</xdr:row>
      <xdr:rowOff>76200</xdr:rowOff>
    </xdr:from>
    <xdr:to>
      <xdr:col>1</xdr:col>
      <xdr:colOff>514350</xdr:colOff>
      <xdr:row>23</xdr:row>
      <xdr:rowOff>76200</xdr:rowOff>
    </xdr:to>
    <xdr:cxnSp macro="">
      <xdr:nvCxnSpPr>
        <xdr:cNvPr id="64" name="Shape 63"/>
        <xdr:cNvCxnSpPr>
          <a:stCxn id="5" idx="2"/>
          <a:endCxn id="58" idx="1"/>
        </xdr:cNvCxnSpPr>
      </xdr:nvCxnSpPr>
      <xdr:spPr>
        <a:xfrm rot="16200000" flipH="1">
          <a:off x="771525" y="3771900"/>
          <a:ext cx="323850" cy="381000"/>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552450</xdr:colOff>
      <xdr:row>21</xdr:row>
      <xdr:rowOff>123825</xdr:rowOff>
    </xdr:from>
    <xdr:to>
      <xdr:col>9</xdr:col>
      <xdr:colOff>71439</xdr:colOff>
      <xdr:row>23</xdr:row>
      <xdr:rowOff>114300</xdr:rowOff>
    </xdr:to>
    <xdr:cxnSp macro="">
      <xdr:nvCxnSpPr>
        <xdr:cNvPr id="66" name="Shape 65"/>
        <xdr:cNvCxnSpPr>
          <a:stCxn id="7" idx="2"/>
          <a:endCxn id="57" idx="3"/>
        </xdr:cNvCxnSpPr>
      </xdr:nvCxnSpPr>
      <xdr:spPr>
        <a:xfrm rot="5400000">
          <a:off x="5336382" y="3940968"/>
          <a:ext cx="314325" cy="128589"/>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314326</xdr:colOff>
      <xdr:row>17</xdr:row>
      <xdr:rowOff>114301</xdr:rowOff>
    </xdr:from>
    <xdr:to>
      <xdr:col>13</xdr:col>
      <xdr:colOff>238126</xdr:colOff>
      <xdr:row>20</xdr:row>
      <xdr:rowOff>142876</xdr:rowOff>
    </xdr:to>
    <xdr:sp macro="" textlink="">
      <xdr:nvSpPr>
        <xdr:cNvPr id="76" name="Rounded Rectangle 75"/>
        <xdr:cNvSpPr/>
      </xdr:nvSpPr>
      <xdr:spPr>
        <a:xfrm>
          <a:off x="7019926" y="3190876"/>
          <a:ext cx="1143000" cy="5143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Treated effluent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U37"/>
  <sheetViews>
    <sheetView tabSelected="1" workbookViewId="0">
      <selection activeCell="A27" sqref="A27:N27"/>
    </sheetView>
  </sheetViews>
  <sheetFormatPr defaultRowHeight="12.75"/>
  <cols>
    <col min="1" max="14" width="10.7109375" style="53" customWidth="1"/>
    <col min="15" max="16384" width="9.140625" style="53"/>
  </cols>
  <sheetData>
    <row r="1" spans="1:21" ht="33.75">
      <c r="A1" s="137" t="s">
        <v>273</v>
      </c>
    </row>
    <row r="2" spans="1:21" ht="15" customHeight="1">
      <c r="A2" s="117"/>
    </row>
    <row r="3" spans="1:21" ht="15" customHeight="1"/>
    <row r="4" spans="1:21" ht="15" customHeight="1"/>
    <row r="5" spans="1:21" ht="15" customHeight="1"/>
    <row r="6" spans="1:21" ht="15" customHeight="1"/>
    <row r="7" spans="1:21" ht="15" customHeight="1"/>
    <row r="8" spans="1:21" ht="15" customHeight="1">
      <c r="F8" s="136" t="s">
        <v>160</v>
      </c>
    </row>
    <row r="9" spans="1:21" ht="15" customHeight="1">
      <c r="F9" s="136"/>
    </row>
    <row r="10" spans="1:21" ht="15" customHeight="1">
      <c r="T10" s="272" t="s">
        <v>272</v>
      </c>
      <c r="U10" s="272"/>
    </row>
    <row r="11" spans="1:21" ht="15" customHeight="1">
      <c r="T11" s="272">
        <v>0.1</v>
      </c>
      <c r="U11" s="272" t="s">
        <v>0</v>
      </c>
    </row>
    <row r="12" spans="1:21" ht="15" customHeight="1"/>
    <row r="13" spans="1:21" ht="15" customHeight="1"/>
    <row r="14" spans="1:21" ht="15" customHeight="1"/>
    <row r="15" spans="1:21" ht="15" customHeight="1"/>
    <row r="16" spans="1:21" ht="15" customHeight="1"/>
    <row r="17" spans="1:15" ht="15" customHeight="1"/>
    <row r="18" spans="1:15" ht="15" customHeight="1"/>
    <row r="19" spans="1:15" ht="15" customHeight="1"/>
    <row r="20" spans="1:15" ht="15" customHeight="1">
      <c r="A20" s="117"/>
    </row>
    <row r="21" spans="1:15" ht="15" customHeight="1"/>
    <row r="22" spans="1:15" ht="15" customHeight="1">
      <c r="A22" s="117"/>
    </row>
    <row r="23" spans="1:15" ht="15" customHeight="1"/>
    <row r="24" spans="1:15" ht="15" customHeight="1">
      <c r="A24" s="117"/>
    </row>
    <row r="25" spans="1:15" ht="15" customHeight="1"/>
    <row r="26" spans="1:15" ht="15" customHeight="1"/>
    <row r="27" spans="1:15" ht="96" customHeight="1">
      <c r="A27" s="279" t="s">
        <v>271</v>
      </c>
      <c r="B27" s="280"/>
      <c r="C27" s="280"/>
      <c r="D27" s="280"/>
      <c r="E27" s="280"/>
      <c r="F27" s="280"/>
      <c r="G27" s="280"/>
      <c r="H27" s="280"/>
      <c r="I27" s="280"/>
      <c r="J27" s="280"/>
      <c r="K27" s="280"/>
      <c r="L27" s="280"/>
      <c r="M27" s="280"/>
      <c r="N27" s="280"/>
    </row>
    <row r="28" spans="1:15" ht="15.75">
      <c r="A28" s="138"/>
      <c r="J28" s="139" t="s">
        <v>161</v>
      </c>
    </row>
    <row r="29" spans="1:15" ht="34.5" customHeight="1">
      <c r="A29" s="279" t="s">
        <v>254</v>
      </c>
      <c r="B29" s="281"/>
      <c r="C29" s="281"/>
      <c r="D29" s="281"/>
      <c r="E29" s="281"/>
      <c r="F29" s="281"/>
      <c r="G29" s="281"/>
      <c r="H29" s="281"/>
      <c r="I29" s="281"/>
      <c r="J29" s="281"/>
      <c r="K29" s="281"/>
      <c r="L29" s="281"/>
      <c r="M29" s="281"/>
      <c r="N29" s="281"/>
    </row>
    <row r="30" spans="1:15" ht="15.75">
      <c r="A30" s="138"/>
    </row>
    <row r="31" spans="1:15" ht="43.5" customHeight="1">
      <c r="A31" s="282"/>
      <c r="B31" s="281"/>
      <c r="C31" s="281"/>
      <c r="D31" s="281"/>
      <c r="E31" s="281"/>
      <c r="F31" s="281"/>
      <c r="G31" s="281"/>
      <c r="H31" s="281"/>
      <c r="I31" s="281"/>
      <c r="J31" s="281"/>
      <c r="K31" s="281"/>
      <c r="L31" s="281"/>
      <c r="M31" s="281"/>
      <c r="N31" s="281"/>
      <c r="O31" s="281"/>
    </row>
    <row r="32" spans="1:15" ht="15.75">
      <c r="A32" s="140" t="s">
        <v>257</v>
      </c>
    </row>
    <row r="33" spans="1:1" ht="15.75">
      <c r="A33" s="140" t="s">
        <v>258</v>
      </c>
    </row>
    <row r="34" spans="1:1" ht="15.75">
      <c r="A34" s="140" t="s">
        <v>259</v>
      </c>
    </row>
    <row r="35" spans="1:1" ht="15.75">
      <c r="A35" s="140" t="s">
        <v>260</v>
      </c>
    </row>
    <row r="36" spans="1:1" ht="15.75">
      <c r="A36" s="140" t="s">
        <v>261</v>
      </c>
    </row>
    <row r="37" spans="1:1" ht="15.75">
      <c r="A37" s="140" t="s">
        <v>262</v>
      </c>
    </row>
  </sheetData>
  <mergeCells count="3">
    <mergeCell ref="A27:N27"/>
    <mergeCell ref="A29:N29"/>
    <mergeCell ref="A31:O31"/>
  </mergeCells>
  <pageMargins left="0.7" right="0.7" top="0.75" bottom="0.75" header="0.3" footer="0.3"/>
  <pageSetup scale="67" orientation="portrait" r:id="rId1"/>
  <drawing r:id="rId2"/>
</worksheet>
</file>

<file path=xl/worksheets/sheet10.xml><?xml version="1.0" encoding="utf-8"?>
<worksheet xmlns="http://schemas.openxmlformats.org/spreadsheetml/2006/main" xmlns:r="http://schemas.openxmlformats.org/officeDocument/2006/relationships">
  <dimension ref="A1:AD111"/>
  <sheetViews>
    <sheetView workbookViewId="0">
      <selection activeCell="B3" sqref="B3"/>
    </sheetView>
  </sheetViews>
  <sheetFormatPr defaultRowHeight="12.75"/>
  <cols>
    <col min="1" max="1" width="57" style="57" customWidth="1"/>
    <col min="2" max="3" width="9.140625" style="57"/>
    <col min="4" max="4" width="2.42578125" style="57" customWidth="1"/>
    <col min="5" max="5" width="70.140625" style="57" customWidth="1"/>
    <col min="6" max="6" width="9.140625" style="57"/>
    <col min="7" max="7" width="13.42578125" style="57" customWidth="1"/>
    <col min="8" max="8" width="19.7109375" style="57" customWidth="1"/>
    <col min="9" max="9" width="3.85546875" style="57" customWidth="1"/>
    <col min="10" max="10" width="31.42578125" style="57" customWidth="1"/>
    <col min="11" max="11" width="10.5703125" style="57" bestFit="1" customWidth="1"/>
    <col min="12" max="12" width="9.140625" style="57"/>
    <col min="13" max="13" width="35.140625" style="57" customWidth="1"/>
    <col min="14" max="15" width="10" style="57" bestFit="1" customWidth="1"/>
    <col min="16" max="16" width="12.5703125" style="57" bestFit="1" customWidth="1"/>
    <col min="17" max="17" width="10.5703125" style="57" bestFit="1" customWidth="1"/>
    <col min="18" max="18" width="14.85546875" style="57" customWidth="1"/>
    <col min="19" max="19" width="9.42578125" style="57" bestFit="1" customWidth="1"/>
    <col min="20" max="20" width="10" style="57" bestFit="1" customWidth="1"/>
    <col min="21" max="22" width="12.7109375" style="57" bestFit="1" customWidth="1"/>
    <col min="23" max="24" width="12.5703125" style="57" bestFit="1" customWidth="1"/>
    <col min="25" max="25" width="11.140625" style="57" bestFit="1" customWidth="1"/>
    <col min="26" max="26" width="10.5703125" style="57" bestFit="1" customWidth="1"/>
    <col min="27" max="27" width="10.5703125" style="57" customWidth="1"/>
    <col min="28" max="28" width="10" style="57" bestFit="1" customWidth="1"/>
    <col min="29" max="29" width="10.5703125" style="57" bestFit="1" customWidth="1"/>
    <col min="30" max="30" width="10.7109375" style="57" bestFit="1" customWidth="1"/>
    <col min="31" max="16384" width="9.140625" style="57"/>
  </cols>
  <sheetData>
    <row r="1" spans="1:16">
      <c r="A1" s="286" t="s">
        <v>275</v>
      </c>
      <c r="B1" s="285"/>
      <c r="C1" s="285"/>
      <c r="D1" s="285"/>
      <c r="E1" s="285"/>
    </row>
    <row r="2" spans="1:16">
      <c r="A2" s="68" t="s">
        <v>127</v>
      </c>
      <c r="B2" s="68" t="s">
        <v>4</v>
      </c>
      <c r="C2" s="68" t="s">
        <v>5</v>
      </c>
      <c r="D2" s="86"/>
      <c r="E2" s="68" t="s">
        <v>24</v>
      </c>
      <c r="F2" s="68" t="s">
        <v>4</v>
      </c>
      <c r="G2" s="68" t="s">
        <v>5</v>
      </c>
      <c r="H2" s="68" t="s">
        <v>57</v>
      </c>
      <c r="I2" s="86"/>
      <c r="J2" s="68" t="s">
        <v>22</v>
      </c>
      <c r="K2" s="68" t="s">
        <v>4</v>
      </c>
      <c r="L2" s="68" t="s">
        <v>5</v>
      </c>
      <c r="M2" s="68" t="s">
        <v>32</v>
      </c>
      <c r="N2" s="68" t="s">
        <v>5</v>
      </c>
      <c r="O2" s="69"/>
    </row>
    <row r="3" spans="1:16" ht="15.75">
      <c r="A3" s="56" t="s">
        <v>122</v>
      </c>
      <c r="B3" s="70">
        <v>20000</v>
      </c>
      <c r="C3" s="59" t="s">
        <v>1</v>
      </c>
      <c r="D3" s="58"/>
      <c r="E3" s="71" t="s">
        <v>164</v>
      </c>
      <c r="F3" s="75">
        <f>H3</f>
        <v>8.9300000000000004E-3</v>
      </c>
      <c r="G3" s="72" t="s">
        <v>25</v>
      </c>
      <c r="H3" s="96">
        <v>8.9300000000000004E-3</v>
      </c>
      <c r="I3" s="58"/>
      <c r="J3" s="60" t="s">
        <v>17</v>
      </c>
      <c r="K3" s="233">
        <f t="shared" ref="K3:K28" si="0">IF(ABS(T47*M3*$B$3)&gt;N84,N84,(T47*M3*$B$3))</f>
        <v>6.9713326723890995E-3</v>
      </c>
      <c r="L3" s="121" t="s">
        <v>23</v>
      </c>
      <c r="M3" s="173">
        <f>(-W47+(W47^(2)-4*V47*X47)^(0.5))/(2*V47)</f>
        <v>0.26078210738002783</v>
      </c>
      <c r="N3" s="59" t="s">
        <v>18</v>
      </c>
    </row>
    <row r="4" spans="1:16" ht="15.75">
      <c r="A4" s="71" t="s">
        <v>123</v>
      </c>
      <c r="B4" s="73">
        <v>25</v>
      </c>
      <c r="C4" s="59" t="s">
        <v>37</v>
      </c>
      <c r="D4" s="58"/>
      <c r="E4" s="71" t="s">
        <v>34</v>
      </c>
      <c r="F4" s="75">
        <f>H4</f>
        <v>1</v>
      </c>
      <c r="G4" s="72" t="s">
        <v>26</v>
      </c>
      <c r="H4" s="96">
        <v>1</v>
      </c>
      <c r="I4" s="58"/>
      <c r="J4" s="62" t="s">
        <v>6</v>
      </c>
      <c r="K4" s="233">
        <f t="shared" si="0"/>
        <v>5.1087489282792943E-3</v>
      </c>
      <c r="L4" s="121" t="s">
        <v>23</v>
      </c>
      <c r="M4" s="173">
        <f t="shared" ref="M4:M28" si="1">(-W48+(W48^(2)-4*V48*X48)^(0.5))/(2*V48)</f>
        <v>5.0378565907751048E-2</v>
      </c>
      <c r="N4" s="59" t="s">
        <v>18</v>
      </c>
      <c r="P4" s="106"/>
    </row>
    <row r="5" spans="1:16" ht="15.75">
      <c r="A5" s="71" t="s">
        <v>130</v>
      </c>
      <c r="B5" s="87">
        <v>1</v>
      </c>
      <c r="C5" s="82" t="s">
        <v>3</v>
      </c>
      <c r="D5" s="58"/>
      <c r="E5" s="71" t="s">
        <v>36</v>
      </c>
      <c r="F5" s="75">
        <f>H5</f>
        <v>8.2100000000000003E-5</v>
      </c>
      <c r="G5" s="72" t="s">
        <v>162</v>
      </c>
      <c r="H5" s="96">
        <v>8.2100000000000003E-5</v>
      </c>
      <c r="I5" s="58"/>
      <c r="J5" s="62" t="s">
        <v>13</v>
      </c>
      <c r="K5" s="233">
        <f t="shared" si="0"/>
        <v>7.6577446479254687E-3</v>
      </c>
      <c r="L5" s="121" t="s">
        <v>23</v>
      </c>
      <c r="M5" s="173">
        <f t="shared" si="1"/>
        <v>7.4281325512116719E-2</v>
      </c>
      <c r="N5" s="59" t="s">
        <v>18</v>
      </c>
      <c r="P5" s="106"/>
    </row>
    <row r="6" spans="1:16" ht="15.75">
      <c r="A6" s="56" t="s">
        <v>124</v>
      </c>
      <c r="B6" s="70">
        <v>8.7599999999999997E-2</v>
      </c>
      <c r="C6" s="59" t="s">
        <v>19</v>
      </c>
      <c r="D6" s="58"/>
      <c r="E6" s="71" t="s">
        <v>163</v>
      </c>
      <c r="F6" s="75">
        <f>H6</f>
        <v>1.8100000000000001E-4</v>
      </c>
      <c r="G6" s="72" t="s">
        <v>25</v>
      </c>
      <c r="H6" s="96">
        <v>1.8100000000000001E-4</v>
      </c>
      <c r="I6" s="58"/>
      <c r="J6" s="60" t="s">
        <v>69</v>
      </c>
      <c r="K6" s="233">
        <f t="shared" si="0"/>
        <v>1.7050154406360228E-2</v>
      </c>
      <c r="L6" s="121" t="s">
        <v>23</v>
      </c>
      <c r="M6" s="173">
        <f t="shared" si="1"/>
        <v>0.23146635940855217</v>
      </c>
      <c r="N6" s="59" t="s">
        <v>18</v>
      </c>
      <c r="P6" s="106"/>
    </row>
    <row r="7" spans="1:16" ht="15.75">
      <c r="A7" s="56" t="s">
        <v>131</v>
      </c>
      <c r="B7" s="74">
        <v>4</v>
      </c>
      <c r="C7" s="59" t="s">
        <v>46</v>
      </c>
      <c r="D7" s="58"/>
      <c r="E7" s="71" t="s">
        <v>27</v>
      </c>
      <c r="F7" s="75">
        <f>H7</f>
        <v>1.1999999999999999E-3</v>
      </c>
      <c r="G7" s="72" t="s">
        <v>26</v>
      </c>
      <c r="H7" s="96">
        <v>1.1999999999999999E-3</v>
      </c>
      <c r="I7" s="58"/>
      <c r="J7" s="62" t="s">
        <v>9</v>
      </c>
      <c r="K7" s="233">
        <f t="shared" si="0"/>
        <v>5.5785850780482437E-3</v>
      </c>
      <c r="L7" s="121" t="s">
        <v>23</v>
      </c>
      <c r="M7" s="173">
        <f t="shared" si="1"/>
        <v>6.8502652578982609E-2</v>
      </c>
      <c r="N7" s="59" t="s">
        <v>18</v>
      </c>
      <c r="P7" s="106"/>
    </row>
    <row r="8" spans="1:16" ht="15.75">
      <c r="A8" s="71" t="s">
        <v>135</v>
      </c>
      <c r="B8" s="75">
        <v>50</v>
      </c>
      <c r="C8" s="59" t="s">
        <v>18</v>
      </c>
      <c r="D8" s="58"/>
      <c r="E8" s="56" t="s">
        <v>90</v>
      </c>
      <c r="F8" s="97">
        <v>8.4999999999999999E-6</v>
      </c>
      <c r="G8" s="59" t="s">
        <v>89</v>
      </c>
      <c r="H8" s="98">
        <v>8.4999999999999999E-6</v>
      </c>
      <c r="I8" s="58"/>
      <c r="J8" s="63" t="s">
        <v>7</v>
      </c>
      <c r="K8" s="233">
        <f t="shared" si="0"/>
        <v>2.1359174321240754E-3</v>
      </c>
      <c r="L8" s="121" t="s">
        <v>23</v>
      </c>
      <c r="M8" s="173">
        <f t="shared" si="1"/>
        <v>2.6046700129012616E-2</v>
      </c>
      <c r="N8" s="59" t="s">
        <v>18</v>
      </c>
      <c r="P8" s="106"/>
    </row>
    <row r="9" spans="1:16" ht="15.75">
      <c r="A9" s="56" t="s">
        <v>56</v>
      </c>
      <c r="B9" s="75">
        <v>4.47</v>
      </c>
      <c r="C9" s="59" t="s">
        <v>0</v>
      </c>
      <c r="D9" s="58"/>
      <c r="E9" s="71" t="s">
        <v>85</v>
      </c>
      <c r="F9" s="75">
        <f>H9</f>
        <v>0.33</v>
      </c>
      <c r="G9" s="59" t="s">
        <v>43</v>
      </c>
      <c r="H9" s="96">
        <v>0.33</v>
      </c>
      <c r="I9" s="58"/>
      <c r="J9" s="62" t="s">
        <v>8</v>
      </c>
      <c r="K9" s="233">
        <f t="shared" si="0"/>
        <v>3.0759005854081537E-3</v>
      </c>
      <c r="L9" s="121" t="s">
        <v>23</v>
      </c>
      <c r="M9" s="173">
        <f t="shared" si="1"/>
        <v>3.5276531709329262E-2</v>
      </c>
      <c r="N9" s="59" t="s">
        <v>18</v>
      </c>
      <c r="P9" s="106"/>
    </row>
    <row r="10" spans="1:16" ht="15.75">
      <c r="A10" s="99" t="s">
        <v>147</v>
      </c>
      <c r="B10" s="75">
        <v>20</v>
      </c>
      <c r="C10" s="59" t="s">
        <v>18</v>
      </c>
      <c r="D10" s="58"/>
      <c r="E10" s="71" t="s">
        <v>148</v>
      </c>
      <c r="F10" s="75">
        <f>H10</f>
        <v>0.67</v>
      </c>
      <c r="G10" s="120" t="s">
        <v>149</v>
      </c>
      <c r="H10" s="96">
        <v>0.67</v>
      </c>
      <c r="I10" s="58"/>
      <c r="J10" s="62" t="s">
        <v>11</v>
      </c>
      <c r="K10" s="233">
        <f t="shared" si="0"/>
        <v>2.5931175337146575E-2</v>
      </c>
      <c r="L10" s="121" t="s">
        <v>23</v>
      </c>
      <c r="M10" s="173">
        <f t="shared" si="1"/>
        <v>0.29386145513791961</v>
      </c>
      <c r="N10" s="59" t="s">
        <v>18</v>
      </c>
      <c r="P10" s="106"/>
    </row>
    <row r="11" spans="1:16" ht="15.75">
      <c r="A11" s="278" t="s">
        <v>276</v>
      </c>
      <c r="D11" s="58"/>
      <c r="H11" s="89"/>
      <c r="I11" s="58"/>
      <c r="J11" s="63" t="s">
        <v>70</v>
      </c>
      <c r="K11" s="233">
        <f t="shared" si="0"/>
        <v>9.8643566375463745E-3</v>
      </c>
      <c r="L11" s="121" t="s">
        <v>23</v>
      </c>
      <c r="M11" s="173">
        <f t="shared" si="1"/>
        <v>9.0858575385250523E-2</v>
      </c>
      <c r="N11" s="59" t="s">
        <v>18</v>
      </c>
      <c r="P11" s="106"/>
    </row>
    <row r="12" spans="1:16" ht="14.25">
      <c r="D12" s="58"/>
      <c r="H12" s="89"/>
      <c r="I12" s="58"/>
      <c r="J12" s="63" t="s">
        <v>16</v>
      </c>
      <c r="K12" s="233">
        <f t="shared" si="0"/>
        <v>7.4395700769322709E-6</v>
      </c>
      <c r="L12" s="121" t="s">
        <v>23</v>
      </c>
      <c r="M12" s="173">
        <f t="shared" si="1"/>
        <v>0.56583570619087864</v>
      </c>
      <c r="N12" s="59" t="s">
        <v>18</v>
      </c>
      <c r="P12" s="106"/>
    </row>
    <row r="13" spans="1:16" ht="14.25">
      <c r="D13" s="58"/>
      <c r="I13" s="58"/>
      <c r="J13" s="60" t="s">
        <v>71</v>
      </c>
      <c r="K13" s="233">
        <f t="shared" si="0"/>
        <v>1.072301479850901E-2</v>
      </c>
      <c r="L13" s="121" t="s">
        <v>23</v>
      </c>
      <c r="M13" s="173">
        <f t="shared" si="1"/>
        <v>0.13979646341251653</v>
      </c>
      <c r="N13" s="59" t="s">
        <v>18</v>
      </c>
      <c r="P13" s="106"/>
    </row>
    <row r="14" spans="1:16" ht="15">
      <c r="A14" s="283" t="s">
        <v>102</v>
      </c>
      <c r="B14" s="293"/>
      <c r="C14" s="293"/>
      <c r="D14" s="58"/>
      <c r="I14" s="58"/>
      <c r="J14" s="62" t="s">
        <v>12</v>
      </c>
      <c r="K14" s="233">
        <f t="shared" si="0"/>
        <v>2.864609664019501E-3</v>
      </c>
      <c r="L14" s="121" t="s">
        <v>23</v>
      </c>
      <c r="M14" s="173">
        <f t="shared" si="1"/>
        <v>3.0793927958073418E-2</v>
      </c>
      <c r="N14" s="59" t="s">
        <v>18</v>
      </c>
      <c r="P14" s="106"/>
    </row>
    <row r="15" spans="1:16" ht="14.25">
      <c r="A15" s="60" t="s">
        <v>17</v>
      </c>
      <c r="B15" s="76">
        <v>1</v>
      </c>
      <c r="C15" s="59" t="s">
        <v>18</v>
      </c>
      <c r="D15" s="58"/>
      <c r="I15" s="58"/>
      <c r="J15" s="62" t="s">
        <v>10</v>
      </c>
      <c r="K15" s="233">
        <f t="shared" si="0"/>
        <v>1.1314379030757337E-5</v>
      </c>
      <c r="L15" s="121" t="s">
        <v>23</v>
      </c>
      <c r="M15" s="173">
        <f t="shared" si="1"/>
        <v>6.0321198543906102E-3</v>
      </c>
      <c r="N15" s="59" t="s">
        <v>18</v>
      </c>
      <c r="P15" s="106"/>
    </row>
    <row r="16" spans="1:16" ht="14.25">
      <c r="A16" s="62" t="s">
        <v>6</v>
      </c>
      <c r="B16" s="76">
        <v>1</v>
      </c>
      <c r="C16" s="59" t="s">
        <v>18</v>
      </c>
      <c r="D16" s="58"/>
      <c r="I16" s="58"/>
      <c r="J16" s="63" t="s">
        <v>72</v>
      </c>
      <c r="K16" s="233">
        <f t="shared" si="0"/>
        <v>4.2411929083613527E-3</v>
      </c>
      <c r="L16" s="121" t="s">
        <v>23</v>
      </c>
      <c r="M16" s="173">
        <f t="shared" si="1"/>
        <v>4.8651093452377142E-2</v>
      </c>
      <c r="N16" s="59" t="s">
        <v>18</v>
      </c>
      <c r="P16" s="106"/>
    </row>
    <row r="17" spans="1:16" ht="14.25">
      <c r="A17" s="62" t="s">
        <v>13</v>
      </c>
      <c r="B17" s="76">
        <v>1</v>
      </c>
      <c r="C17" s="59" t="s">
        <v>18</v>
      </c>
      <c r="D17" s="58"/>
      <c r="I17" s="58"/>
      <c r="J17" s="63" t="s">
        <v>73</v>
      </c>
      <c r="K17" s="233">
        <f t="shared" si="0"/>
        <v>3.0175333391274967E-5</v>
      </c>
      <c r="L17" s="121" t="s">
        <v>23</v>
      </c>
      <c r="M17" s="173">
        <f t="shared" si="1"/>
        <v>4.6303686174245951E-3</v>
      </c>
      <c r="N17" s="59" t="s">
        <v>18</v>
      </c>
      <c r="P17" s="106"/>
    </row>
    <row r="18" spans="1:16" ht="14.25">
      <c r="A18" s="60" t="s">
        <v>69</v>
      </c>
      <c r="B18" s="76">
        <v>1</v>
      </c>
      <c r="C18" s="59" t="s">
        <v>18</v>
      </c>
      <c r="D18" s="58"/>
      <c r="I18" s="58"/>
      <c r="J18" s="64" t="s">
        <v>74</v>
      </c>
      <c r="K18" s="233">
        <f t="shared" si="0"/>
        <v>3.94136455264372E-3</v>
      </c>
      <c r="L18" s="121" t="s">
        <v>23</v>
      </c>
      <c r="M18" s="173">
        <f t="shared" si="1"/>
        <v>4.0136769899674386E-2</v>
      </c>
      <c r="N18" s="59" t="s">
        <v>18</v>
      </c>
      <c r="P18" s="106"/>
    </row>
    <row r="19" spans="1:16" ht="14.25">
      <c r="A19" s="62" t="s">
        <v>9</v>
      </c>
      <c r="B19" s="76">
        <v>1</v>
      </c>
      <c r="C19" s="59" t="s">
        <v>18</v>
      </c>
      <c r="D19" s="58"/>
      <c r="I19" s="58"/>
      <c r="J19" s="63" t="s">
        <v>75</v>
      </c>
      <c r="K19" s="233">
        <f t="shared" si="0"/>
        <v>9.2126157130010596E-3</v>
      </c>
      <c r="L19" s="121" t="s">
        <v>23</v>
      </c>
      <c r="M19" s="173">
        <f t="shared" si="1"/>
        <v>8.9419776982068405E-2</v>
      </c>
      <c r="N19" s="59" t="s">
        <v>18</v>
      </c>
      <c r="P19" s="106"/>
    </row>
    <row r="20" spans="1:16" ht="14.25">
      <c r="A20" s="63" t="s">
        <v>7</v>
      </c>
      <c r="B20" s="76">
        <v>1</v>
      </c>
      <c r="C20" s="59" t="s">
        <v>18</v>
      </c>
      <c r="D20" s="58"/>
      <c r="I20" s="58"/>
      <c r="J20" s="64" t="s">
        <v>78</v>
      </c>
      <c r="K20" s="233">
        <f t="shared" si="0"/>
        <v>4.1553088247623989E-3</v>
      </c>
      <c r="L20" s="121" t="s">
        <v>23</v>
      </c>
      <c r="M20" s="173">
        <f t="shared" si="1"/>
        <v>5.0930391130763121E-2</v>
      </c>
      <c r="N20" s="59" t="s">
        <v>18</v>
      </c>
      <c r="P20" s="106"/>
    </row>
    <row r="21" spans="1:16" ht="14.25">
      <c r="A21" s="62" t="s">
        <v>8</v>
      </c>
      <c r="B21" s="76">
        <v>1</v>
      </c>
      <c r="C21" s="59" t="s">
        <v>18</v>
      </c>
      <c r="D21" s="58"/>
      <c r="I21" s="58"/>
      <c r="J21" s="65" t="s">
        <v>14</v>
      </c>
      <c r="K21" s="233">
        <f t="shared" si="0"/>
        <v>8.9674128213711492E-3</v>
      </c>
      <c r="L21" s="121" t="s">
        <v>23</v>
      </c>
      <c r="M21" s="173">
        <f t="shared" si="1"/>
        <v>7.3006951958789937E-2</v>
      </c>
      <c r="N21" s="59" t="s">
        <v>18</v>
      </c>
      <c r="P21" s="106"/>
    </row>
    <row r="22" spans="1:16" ht="14.25">
      <c r="A22" s="62" t="s">
        <v>11</v>
      </c>
      <c r="B22" s="76">
        <v>1</v>
      </c>
      <c r="C22" s="59" t="s">
        <v>18</v>
      </c>
      <c r="D22" s="58"/>
      <c r="I22" s="58"/>
      <c r="J22" s="65" t="s">
        <v>79</v>
      </c>
      <c r="K22" s="233">
        <f t="shared" si="0"/>
        <v>7.1294120886884263E-3</v>
      </c>
      <c r="L22" s="121" t="s">
        <v>23</v>
      </c>
      <c r="M22" s="173">
        <f t="shared" si="1"/>
        <v>7.0480679239961361E-2</v>
      </c>
      <c r="N22" s="59" t="s">
        <v>18</v>
      </c>
      <c r="P22" s="106"/>
    </row>
    <row r="23" spans="1:16" ht="14.25">
      <c r="A23" s="63" t="s">
        <v>70</v>
      </c>
      <c r="B23" s="76">
        <v>1</v>
      </c>
      <c r="C23" s="59" t="s">
        <v>18</v>
      </c>
      <c r="D23" s="58"/>
      <c r="I23" s="58"/>
      <c r="J23" s="65" t="s">
        <v>15</v>
      </c>
      <c r="K23" s="233">
        <f t="shared" si="0"/>
        <v>7.0522481413349973E-8</v>
      </c>
      <c r="L23" s="121" t="s">
        <v>23</v>
      </c>
      <c r="M23" s="173">
        <f t="shared" si="1"/>
        <v>0.41892545937451114</v>
      </c>
      <c r="N23" s="59" t="s">
        <v>18</v>
      </c>
      <c r="P23" s="106"/>
    </row>
    <row r="24" spans="1:16" ht="14.25">
      <c r="A24" s="63" t="s">
        <v>16</v>
      </c>
      <c r="B24" s="76">
        <v>1</v>
      </c>
      <c r="C24" s="59" t="s">
        <v>18</v>
      </c>
      <c r="D24" s="58"/>
      <c r="I24" s="58"/>
      <c r="J24" s="65" t="s">
        <v>80</v>
      </c>
      <c r="K24" s="233">
        <f t="shared" si="0"/>
        <v>3.5724648992609444E-3</v>
      </c>
      <c r="L24" s="121" t="s">
        <v>23</v>
      </c>
      <c r="M24" s="173">
        <f t="shared" si="1"/>
        <v>4.5733033960362136E-2</v>
      </c>
      <c r="N24" s="59" t="s">
        <v>18</v>
      </c>
      <c r="P24" s="106"/>
    </row>
    <row r="25" spans="1:16" ht="14.25">
      <c r="A25" s="60" t="s">
        <v>71</v>
      </c>
      <c r="B25" s="76">
        <v>1</v>
      </c>
      <c r="C25" s="59" t="s">
        <v>18</v>
      </c>
      <c r="D25" s="58"/>
      <c r="I25" s="58"/>
      <c r="J25" s="65" t="s">
        <v>59</v>
      </c>
      <c r="K25" s="233" t="e">
        <f t="shared" si="0"/>
        <v>#DIV/0!</v>
      </c>
      <c r="L25" s="121" t="s">
        <v>23</v>
      </c>
      <c r="M25" s="173" t="e">
        <f t="shared" si="1"/>
        <v>#DIV/0!</v>
      </c>
      <c r="N25" s="59" t="s">
        <v>18</v>
      </c>
      <c r="P25" s="106"/>
    </row>
    <row r="26" spans="1:16" ht="14.25">
      <c r="A26" s="62" t="s">
        <v>12</v>
      </c>
      <c r="B26" s="76">
        <v>1</v>
      </c>
      <c r="C26" s="59" t="s">
        <v>18</v>
      </c>
      <c r="D26" s="58"/>
      <c r="I26" s="58"/>
      <c r="J26" s="81" t="s">
        <v>60</v>
      </c>
      <c r="K26" s="233" t="e">
        <f t="shared" si="0"/>
        <v>#DIV/0!</v>
      </c>
      <c r="L26" s="121" t="s">
        <v>23</v>
      </c>
      <c r="M26" s="173" t="e">
        <f t="shared" si="1"/>
        <v>#DIV/0!</v>
      </c>
      <c r="N26" s="59" t="s">
        <v>18</v>
      </c>
      <c r="P26" s="106"/>
    </row>
    <row r="27" spans="1:16" ht="14.25">
      <c r="A27" s="62" t="s">
        <v>10</v>
      </c>
      <c r="B27" s="76">
        <v>1</v>
      </c>
      <c r="C27" s="59" t="s">
        <v>18</v>
      </c>
      <c r="D27" s="58"/>
      <c r="I27" s="58"/>
      <c r="J27" s="65" t="s">
        <v>61</v>
      </c>
      <c r="K27" s="233" t="e">
        <f t="shared" si="0"/>
        <v>#DIV/0!</v>
      </c>
      <c r="L27" s="121" t="s">
        <v>23</v>
      </c>
      <c r="M27" s="173" t="e">
        <f t="shared" si="1"/>
        <v>#DIV/0!</v>
      </c>
      <c r="N27" s="59" t="s">
        <v>18</v>
      </c>
      <c r="P27" s="106"/>
    </row>
    <row r="28" spans="1:16" ht="14.25">
      <c r="A28" s="63" t="s">
        <v>72</v>
      </c>
      <c r="B28" s="76">
        <v>1</v>
      </c>
      <c r="C28" s="59" t="s">
        <v>18</v>
      </c>
      <c r="D28" s="58"/>
      <c r="I28" s="58"/>
      <c r="J28" s="65" t="s">
        <v>256</v>
      </c>
      <c r="K28" s="233">
        <f t="shared" si="0"/>
        <v>5.0721373733209237E-3</v>
      </c>
      <c r="L28" s="121" t="s">
        <v>23</v>
      </c>
      <c r="M28" s="173">
        <f t="shared" si="1"/>
        <v>4.8212330553025845E-2</v>
      </c>
      <c r="N28" s="59" t="s">
        <v>18</v>
      </c>
      <c r="P28" s="106"/>
    </row>
    <row r="29" spans="1:16" ht="14.25">
      <c r="A29" s="63" t="s">
        <v>73</v>
      </c>
      <c r="B29" s="76">
        <v>1</v>
      </c>
      <c r="C29" s="59" t="s">
        <v>18</v>
      </c>
      <c r="D29" s="58"/>
      <c r="I29" s="55"/>
      <c r="P29" s="106"/>
    </row>
    <row r="30" spans="1:16" ht="14.25">
      <c r="A30" s="64" t="s">
        <v>74</v>
      </c>
      <c r="B30" s="76">
        <v>1</v>
      </c>
      <c r="C30" s="59" t="s">
        <v>18</v>
      </c>
      <c r="D30" s="58"/>
      <c r="I30" s="55"/>
      <c r="J30" s="212"/>
      <c r="K30" s="261"/>
      <c r="L30" s="231"/>
      <c r="M30" s="259"/>
      <c r="N30" s="185"/>
      <c r="P30" s="106"/>
    </row>
    <row r="31" spans="1:16" ht="14.25">
      <c r="A31" s="63" t="s">
        <v>75</v>
      </c>
      <c r="B31" s="76">
        <v>1</v>
      </c>
      <c r="C31" s="59" t="s">
        <v>18</v>
      </c>
      <c r="D31" s="58"/>
      <c r="I31" s="55"/>
      <c r="J31" s="55"/>
      <c r="K31" s="55"/>
      <c r="L31" s="277"/>
      <c r="M31" s="55"/>
      <c r="N31" s="79"/>
    </row>
    <row r="32" spans="1:16" ht="14.25">
      <c r="A32" s="64" t="s">
        <v>78</v>
      </c>
      <c r="B32" s="76">
        <v>1</v>
      </c>
      <c r="C32" s="59" t="s">
        <v>18</v>
      </c>
      <c r="D32" s="58"/>
      <c r="J32" s="55"/>
      <c r="K32" s="55"/>
      <c r="L32" s="277"/>
      <c r="M32" s="55"/>
      <c r="N32" s="79"/>
    </row>
    <row r="33" spans="1:24" ht="14.25">
      <c r="A33" s="65" t="s">
        <v>14</v>
      </c>
      <c r="B33" s="76">
        <v>1</v>
      </c>
      <c r="C33" s="59" t="s">
        <v>18</v>
      </c>
      <c r="D33" s="58"/>
      <c r="J33" s="55"/>
      <c r="K33" s="55"/>
      <c r="L33" s="277"/>
      <c r="M33" s="55"/>
      <c r="N33" s="79"/>
    </row>
    <row r="34" spans="1:24" ht="14.25">
      <c r="A34" s="65" t="s">
        <v>79</v>
      </c>
      <c r="B34" s="76">
        <v>1</v>
      </c>
      <c r="C34" s="59" t="s">
        <v>18</v>
      </c>
      <c r="D34" s="58"/>
      <c r="J34" s="55"/>
      <c r="K34" s="55"/>
      <c r="L34" s="277"/>
      <c r="M34" s="55"/>
      <c r="N34" s="79"/>
    </row>
    <row r="35" spans="1:24" ht="14.25">
      <c r="A35" s="65" t="s">
        <v>15</v>
      </c>
      <c r="B35" s="76">
        <v>1</v>
      </c>
      <c r="C35" s="59" t="s">
        <v>18</v>
      </c>
      <c r="D35" s="58"/>
      <c r="J35" s="55"/>
      <c r="K35" s="55"/>
      <c r="L35" s="277"/>
      <c r="M35" s="55"/>
      <c r="N35" s="79"/>
    </row>
    <row r="36" spans="1:24" ht="14.25">
      <c r="A36" s="65" t="s">
        <v>80</v>
      </c>
      <c r="B36" s="76">
        <v>1</v>
      </c>
      <c r="C36" s="59" t="s">
        <v>18</v>
      </c>
      <c r="D36" s="58"/>
      <c r="J36" s="55"/>
      <c r="K36" s="55"/>
      <c r="L36" s="277"/>
      <c r="M36" s="55"/>
      <c r="N36" s="79"/>
    </row>
    <row r="37" spans="1:24" ht="14.25">
      <c r="A37" s="65" t="s">
        <v>59</v>
      </c>
      <c r="B37" s="76">
        <v>1</v>
      </c>
      <c r="C37" s="59" t="s">
        <v>18</v>
      </c>
      <c r="D37" s="58"/>
      <c r="J37" s="55"/>
      <c r="K37" s="55"/>
      <c r="L37" s="277"/>
      <c r="M37" s="55"/>
      <c r="N37" s="79"/>
    </row>
    <row r="38" spans="1:24" ht="14.25">
      <c r="A38" s="81" t="s">
        <v>60</v>
      </c>
      <c r="B38" s="76">
        <v>1</v>
      </c>
      <c r="C38" s="59" t="s">
        <v>18</v>
      </c>
      <c r="D38" s="58"/>
      <c r="J38" s="55"/>
      <c r="K38" s="55"/>
      <c r="L38" s="277"/>
      <c r="M38" s="55"/>
      <c r="N38" s="79"/>
    </row>
    <row r="39" spans="1:24" ht="14.25">
      <c r="A39" s="65" t="s">
        <v>61</v>
      </c>
      <c r="B39" s="76">
        <v>1</v>
      </c>
      <c r="C39" s="59" t="s">
        <v>18</v>
      </c>
      <c r="D39" s="55"/>
      <c r="H39" s="55"/>
    </row>
    <row r="40" spans="1:24" ht="14.25">
      <c r="A40" s="65" t="s">
        <v>256</v>
      </c>
      <c r="B40" s="76">
        <v>1</v>
      </c>
      <c r="C40" s="59" t="s">
        <v>18</v>
      </c>
      <c r="D40" s="55"/>
      <c r="H40" s="55"/>
    </row>
    <row r="41" spans="1:24">
      <c r="D41" s="55"/>
      <c r="H41" s="55"/>
    </row>
    <row r="42" spans="1:24">
      <c r="A42" s="212"/>
      <c r="B42" s="216"/>
      <c r="C42" s="185"/>
      <c r="D42" s="55"/>
      <c r="H42" s="55"/>
    </row>
    <row r="43" spans="1:24" ht="15.75">
      <c r="E43" s="296"/>
      <c r="F43" s="297"/>
      <c r="G43" s="297"/>
      <c r="H43" s="55"/>
      <c r="M43" s="56" t="s">
        <v>56</v>
      </c>
      <c r="N43" s="274">
        <f>IF(B9&lt;minWindSpd,minWindSpd,B9)</f>
        <v>4.47</v>
      </c>
      <c r="O43" s="59" t="s">
        <v>0</v>
      </c>
    </row>
    <row r="44" spans="1:24">
      <c r="E44" s="122"/>
      <c r="F44" s="114"/>
      <c r="G44" s="115"/>
      <c r="M44" s="273" t="str">
        <f>IF(B9&lt;minWindSpd,CONCATENATE("Windspeed has been set at ",TEXT(minWindSpd,"0.##")," m/s, which is the minimum windspeed for the mass transfer calculations"),"")</f>
        <v/>
      </c>
    </row>
    <row r="45" spans="1:24">
      <c r="E45" s="123"/>
      <c r="F45" s="114"/>
      <c r="G45" s="115"/>
      <c r="I45" s="55"/>
      <c r="J45" s="55"/>
      <c r="K45" s="55"/>
    </row>
    <row r="46" spans="1:24" ht="14.25">
      <c r="E46" s="123"/>
      <c r="F46" s="114"/>
      <c r="G46" s="115"/>
      <c r="I46" s="295"/>
      <c r="J46" s="295"/>
      <c r="K46" s="295"/>
      <c r="M46" s="83" t="s">
        <v>21</v>
      </c>
      <c r="N46" s="83" t="s">
        <v>107</v>
      </c>
      <c r="O46" s="83" t="s">
        <v>103</v>
      </c>
      <c r="P46" s="83" t="s">
        <v>108</v>
      </c>
      <c r="Q46" s="83" t="s">
        <v>104</v>
      </c>
      <c r="R46" s="83" t="s">
        <v>35</v>
      </c>
      <c r="S46" s="83" t="s">
        <v>111</v>
      </c>
      <c r="T46" s="83" t="s">
        <v>112</v>
      </c>
      <c r="U46" s="95" t="s">
        <v>120</v>
      </c>
      <c r="V46" s="95" t="s">
        <v>150</v>
      </c>
      <c r="W46" s="95" t="s">
        <v>151</v>
      </c>
      <c r="X46" s="95" t="s">
        <v>152</v>
      </c>
    </row>
    <row r="47" spans="1:24">
      <c r="E47" s="122"/>
      <c r="F47" s="114"/>
      <c r="G47" s="115"/>
      <c r="I47" s="55"/>
      <c r="J47" s="55"/>
      <c r="K47" s="55"/>
      <c r="M47" s="60" t="s">
        <v>17</v>
      </c>
      <c r="N47" s="105">
        <f>$F$3/($F$4*IF(ABS('Chemical Properties'!F41)&gt;0,'Chemical Properties'!F41,'Chemical Properties'!F4))</f>
        <v>544.51219512195132</v>
      </c>
      <c r="O47" s="105">
        <f>$F$6/($F$7*IF(ABS('Chemical Properties'!G41)&gt;0,'Chemical Properties'!G41,'Chemical Properties'!G4))</f>
        <v>1.0055555555555558</v>
      </c>
      <c r="P47" s="105">
        <f>IF($N$43&lt;3.25,0.00000278*(IF(ABS('Chemical Properties'!F41)&gt;0,'Chemical Properties'!F41,'Chemical Properties'!F4)/$F$8)^(2/3),IF($N$76&lt;14,IF($N$78&lt;0.3,0.000001+0.0144*$N$78^2.2*N47^(-0.5),0.000001+0.00341*$N$78*N47^(-0.5)),IF($N$76&lt;=51.2,(0.000000002605*$N$76+0.0000001277)*$N$43^2*(IF(ABS('Chemical Properties'!F41)&gt;0,'Chemical Properties'!F41,'Chemical Properties'!F4)/$F$8)^(2/3),0.000000261*$N$43^2*(IF(ABS('Chemical Properties'!F41)&gt;0,'Chemical Properties'!F41,'Chemical Properties'!F4)/$F$8)^(2/3))))</f>
        <v>7.172701461580476E-6</v>
      </c>
      <c r="Q47" s="105">
        <f t="shared" ref="Q47:Q72" si="2">4.82*10^(-3)*$N$43^(0.78)*O47^(-0.67)*(2*($B$3/3.14)^0.5)^(-0.11)</f>
        <v>8.8376341848513517E-3</v>
      </c>
      <c r="R47" s="105">
        <f>IF(ABS('Chemical Properties'!E41)&gt;0,'Chemical Properties'!E41,'Chemical Properties'!E4)/($F$5*($B$4+273.15))</f>
        <v>1.8588032616073582E-4</v>
      </c>
      <c r="S47" s="105">
        <f t="shared" ref="S47:S72" si="3">(P47*R47*Q47)/(R47*Q47+P47)</f>
        <v>1.3366202042055826E-6</v>
      </c>
      <c r="T47" s="105">
        <f>S47</f>
        <v>1.3366202042055826E-6</v>
      </c>
      <c r="U47" s="105">
        <f>0.000001*$F$9*'Chemical Properties'!N4</f>
        <v>3.0797391926300696E-8</v>
      </c>
      <c r="V47" s="105">
        <f>($B$6+$B$3*T47+$F$10*$B$10*$B$6*$N$79*U47)/$B$6</f>
        <v>1.3051648428689748</v>
      </c>
      <c r="W47" s="105">
        <f>((IF(ABS('Chemical Properties'!J41)&gt;0,'Chemical Properties'!J41,'Chemical Properties'!J4)/$B$6)*(T47*$B$3+($F$10*$B$10*$B$6*$N$79*U47)+($B$6))+((IF(ABS('Chemical Properties'!I41)&gt;0,'Chemical Properties'!I41,'Chemical Properties'!I4)*$B$8*$B$3*$B$7)/$B$6)-B15)</f>
        <v>344.77533814131277</v>
      </c>
      <c r="X47" s="105">
        <f>-IF(ABS('Chemical Properties'!J41)&gt;0,'Chemical Properties'!J41,'Chemical Properties'!J4)*B15</f>
        <v>-90</v>
      </c>
    </row>
    <row r="48" spans="1:24">
      <c r="E48" s="123"/>
      <c r="F48" s="114"/>
      <c r="G48" s="115"/>
      <c r="I48" s="55"/>
      <c r="J48" s="55"/>
      <c r="K48" s="55"/>
      <c r="M48" s="62" t="s">
        <v>6</v>
      </c>
      <c r="N48" s="105">
        <f>$F$3/($F$4*IF(ABS('Chemical Properties'!F42)&gt;0,'Chemical Properties'!F42,'Chemical Properties'!F5))</f>
        <v>911.22448979591843</v>
      </c>
      <c r="O48" s="105">
        <f>$F$6/($F$7*IF(ABS('Chemical Properties'!G42)&gt;0,'Chemical Properties'!G42,'Chemical Properties'!G5))</f>
        <v>1.714015151515152</v>
      </c>
      <c r="P48" s="105">
        <f>IF($N$43&lt;3.25,0.00000278*(IF(ABS('Chemical Properties'!F42)&gt;0,'Chemical Properties'!F42,'Chemical Properties'!F5)/$F$8)^(2/3),IF($N$76&lt;14,IF($N$78&lt;0.3,0.000001+0.0144*$N$78^2.2*N48^(-0.5),0.000001+0.00341*$N$78*N48^(-0.5)),IF($N$76&lt;=51.2,(0.000000002605*$N$76+0.0000001277)*$N$43^2*(IF(ABS('Chemical Properties'!F42)&gt;0,'Chemical Properties'!F42,'Chemical Properties'!F5)/$F$8)^(2/3),0.000000261*$N$43^2*(IF(ABS('Chemical Properties'!F42)&gt;0,'Chemical Properties'!F42,'Chemical Properties'!F5)/$F$8)^(2/3))))</f>
        <v>5.0886694436758132E-6</v>
      </c>
      <c r="Q48" s="105">
        <f t="shared" si="2"/>
        <v>6.18241661672556E-3</v>
      </c>
      <c r="R48" s="105">
        <f>IF(ABS('Chemical Properties'!E42)&gt;0,'Chemical Properties'!E42,'Chemical Properties'!E5)/($F$5*($B$4+273.15))</f>
        <v>0.22792954908029947</v>
      </c>
      <c r="S48" s="105">
        <f t="shared" si="3"/>
        <v>5.0703596224175991E-6</v>
      </c>
      <c r="T48" s="105">
        <f t="shared" ref="T48:T72" si="4">S48</f>
        <v>5.0703596224175991E-6</v>
      </c>
      <c r="U48" s="105">
        <f>0.000001*$F$9*'Chemical Properties'!N5</f>
        <v>2.1306589558143626E-5</v>
      </c>
      <c r="V48" s="105">
        <f t="shared" ref="V48:V72" si="5">($B$6+$B$3*T48+$F$10*$B$10*$B$6*$N$79*U48)/$B$6</f>
        <v>2.1579018604502158</v>
      </c>
      <c r="W48" s="105">
        <f>((IF(ABS('Chemical Properties'!J42)&gt;0,'Chemical Properties'!J42,'Chemical Properties'!J5)/$B$6)*(T48*$B$3+($F$10*$B$10*$B$6*$N$79*U48)+($B$6))+((IF(ABS('Chemical Properties'!I42)&gt;0,'Chemical Properties'!I42,'Chemical Properties'!I5)*$B$8*$B$3*$B$7)/$B$6)-B16)</f>
        <v>269.2802300398638</v>
      </c>
      <c r="X48" s="105">
        <f>-IF(ABS('Chemical Properties'!J42)&gt;0,'Chemical Properties'!J42,'Chemical Properties'!J5)*B16</f>
        <v>-13.571428571428573</v>
      </c>
    </row>
    <row r="49" spans="5:24">
      <c r="E49" s="124"/>
      <c r="F49" s="114"/>
      <c r="G49" s="115"/>
      <c r="I49" s="55"/>
      <c r="J49" s="55"/>
      <c r="K49" s="55"/>
      <c r="M49" s="62" t="s">
        <v>13</v>
      </c>
      <c r="N49" s="105">
        <f>$F$3/($F$4*IF(ABS('Chemical Properties'!F43)&gt;0,'Chemical Properties'!F43,'Chemical Properties'!F6))</f>
        <v>893</v>
      </c>
      <c r="O49" s="105">
        <f>$F$6/($F$7*IF(ABS('Chemical Properties'!G43)&gt;0,'Chemical Properties'!G43,'Chemical Properties'!G6))</f>
        <v>1.4503205128205132</v>
      </c>
      <c r="P49" s="105">
        <f>IF($N$43&lt;3.25,0.00000278*(IF(ABS('Chemical Properties'!F43)&gt;0,'Chemical Properties'!F43,'Chemical Properties'!F6)/$F$8)^(2/3),IF($N$76&lt;14,IF($N$78&lt;0.3,0.000001+0.0144*$N$78^2.2*N49^(-0.5),0.000001+0.00341*$N$78*N49^(-0.5)),IF($N$76&lt;=51.2,(0.000000002605*$N$76+0.0000001277)*$N$43^2*(IF(ABS('Chemical Properties'!F43)&gt;0,'Chemical Properties'!F43,'Chemical Properties'!F6)/$F$8)^(2/3),0.000000261*$N$43^2*(IF(ABS('Chemical Properties'!F43)&gt;0,'Chemical Properties'!F43,'Chemical Properties'!F6)/$F$8)^(2/3))))</f>
        <v>5.1576696639832438E-6</v>
      </c>
      <c r="Q49" s="105">
        <f t="shared" si="2"/>
        <v>6.9146024331359747E-3</v>
      </c>
      <c r="R49" s="105">
        <f>IF(ABS('Chemical Properties'!E43)&gt;0,'Chemical Properties'!E43,'Chemical Properties'!E6)/($F$5*($B$4+273.15))</f>
        <v>1.234720891796967</v>
      </c>
      <c r="S49" s="105">
        <f t="shared" si="3"/>
        <v>5.1545557346552345E-6</v>
      </c>
      <c r="T49" s="105">
        <f t="shared" si="4"/>
        <v>5.1545557346552345E-6</v>
      </c>
      <c r="U49" s="105">
        <f>0.000001*$F$9*'Chemical Properties'!N6</f>
        <v>1.5794793046647074E-5</v>
      </c>
      <c r="V49" s="105">
        <f t="shared" si="5"/>
        <v>2.1770508590522213</v>
      </c>
      <c r="W49" s="105">
        <f>((IF(ABS('Chemical Properties'!J43)&gt;0,'Chemical Properties'!J43,'Chemical Properties'!J6)/$B$6)*(T49*$B$3+($F$10*$B$10*$B$6*$N$79*U49)+($B$6))+((IF(ABS('Chemical Properties'!I43)&gt;0,'Chemical Properties'!I43,'Chemical Properties'!I6)*$B$8*$B$3*$B$7)/$B$6)-B17)</f>
        <v>230.33920394186811</v>
      </c>
      <c r="X49" s="105">
        <f>-IF(ABS('Chemical Properties'!J43)&gt;0,'Chemical Properties'!J43,'Chemical Properties'!J6)*B17</f>
        <v>-17.121913733084138</v>
      </c>
    </row>
    <row r="50" spans="5:24">
      <c r="E50" s="123"/>
      <c r="F50" s="114"/>
      <c r="G50" s="115"/>
      <c r="M50" s="60" t="s">
        <v>69</v>
      </c>
      <c r="N50" s="105">
        <f>$F$3/($F$4*IF(ABS('Chemical Properties'!F44)&gt;0,'Chemical Properties'!F44,'Chemical Properties'!F7))</f>
        <v>911.22448979591843</v>
      </c>
      <c r="O50" s="105">
        <f>$F$6/($F$7*IF(ABS('Chemical Properties'!G44)&gt;0,'Chemical Properties'!G44,'Chemical Properties'!G7))</f>
        <v>1.866749174917492</v>
      </c>
      <c r="P50" s="105">
        <f>IF($N$43&lt;3.25,0.00000278*(IF(ABS('Chemical Properties'!F44)&gt;0,'Chemical Properties'!F44,'Chemical Properties'!F7)/$F$8)^(2/3),IF($N$76&lt;14,IF($N$78&lt;0.3,0.000001+0.0144*$N$78^2.2*N50^(-0.5),0.000001+0.00341*$N$78*N50^(-0.5)),IF($N$76&lt;=51.2,(0.000000002605*$N$76+0.0000001277)*$N$43^2*(IF(ABS('Chemical Properties'!F44)&gt;0,'Chemical Properties'!F44,'Chemical Properties'!F7)/$F$8)^(2/3),0.000000261*$N$43^2*(IF(ABS('Chemical Properties'!F44)&gt;0,'Chemical Properties'!F44,'Chemical Properties'!F7)/$F$8)^(2/3))))</f>
        <v>5.0886694436758132E-6</v>
      </c>
      <c r="Q50" s="105">
        <f t="shared" si="2"/>
        <v>5.8387581842265588E-3</v>
      </c>
      <c r="R50" s="105">
        <f>IF(ABS('Chemical Properties'!E44)&gt;0,'Chemical Properties'!E44,'Chemical Properties'!E7)/($F$5*($B$4+273.15))</f>
        <v>2.2836725785461832E-3</v>
      </c>
      <c r="S50" s="105">
        <f t="shared" si="3"/>
        <v>3.6830739572539068E-6</v>
      </c>
      <c r="T50" s="105">
        <f t="shared" si="4"/>
        <v>3.6830739572539068E-6</v>
      </c>
      <c r="U50" s="105">
        <f>0.000001*$F$9*'Chemical Properties'!N7</f>
        <v>3.0096357698745028E-7</v>
      </c>
      <c r="V50" s="105">
        <f t="shared" si="5"/>
        <v>1.8408884980383942</v>
      </c>
      <c r="W50" s="105">
        <f>((IF(ABS('Chemical Properties'!J44)&gt;0,'Chemical Properties'!J44,'Chemical Properties'!J7)/$B$6)*(T50*$B$3+($F$10*$B$10*$B$6*$N$79*U50)+($B$6))+((IF(ABS('Chemical Properties'!I44)&gt;0,'Chemical Properties'!I44,'Chemical Properties'!I7)*$B$8*$B$3*$B$7)/$B$6)-B18)</f>
        <v>42.776718567395605</v>
      </c>
      <c r="X50" s="105">
        <f>-IF(ABS('Chemical Properties'!J44)&gt;0,'Chemical Properties'!J44,'Chemical Properties'!J7)*B18</f>
        <v>-10</v>
      </c>
    </row>
    <row r="51" spans="5:24">
      <c r="E51" s="123"/>
      <c r="F51" s="114"/>
      <c r="G51" s="115"/>
      <c r="M51" s="62" t="s">
        <v>9</v>
      </c>
      <c r="N51" s="105">
        <f>$F$3/($F$4*IF(ABS('Chemical Properties'!F45)&gt;0,'Chemical Properties'!F45,'Chemical Properties'!F8))</f>
        <v>1190.6666666666667</v>
      </c>
      <c r="O51" s="105">
        <f>$F$6/($F$7*IF(ABS('Chemical Properties'!G45)&gt;0,'Chemical Properties'!G45,'Chemical Properties'!G8))</f>
        <v>2.5564971751412435</v>
      </c>
      <c r="P51" s="105">
        <f>IF($N$43&lt;3.25,0.00000278*(IF(ABS('Chemical Properties'!F45)&gt;0,'Chemical Properties'!F45,'Chemical Properties'!F8)/$F$8)^(2/3),IF($N$76&lt;14,IF($N$78&lt;0.3,0.000001+0.0144*$N$78^2.2*N51^(-0.5),0.000001+0.00341*$N$78*N51^(-0.5)),IF($N$76&lt;=51.2,(0.000000002605*$N$76+0.0000001277)*$N$43^2*(IF(ABS('Chemical Properties'!F45)&gt;0,'Chemical Properties'!F45,'Chemical Properties'!F8)/$F$8)^(2/3),0.000000261*$N$43^2*(IF(ABS('Chemical Properties'!F45)&gt;0,'Chemical Properties'!F45,'Chemical Properties'!F8)/$F$8)^(2/3))))</f>
        <v>4.2575625010758661E-6</v>
      </c>
      <c r="Q51" s="105">
        <f t="shared" si="2"/>
        <v>4.7296142962965472E-3</v>
      </c>
      <c r="R51" s="105">
        <f>IF(ABS('Chemical Properties'!E45)&gt;0,'Chemical Properties'!E45,'Chemical Properties'!E8)/($F$5*($B$4+273.15))</f>
        <v>1.9731911546293494E-2</v>
      </c>
      <c r="S51" s="105">
        <f t="shared" si="3"/>
        <v>4.071802235407025E-6</v>
      </c>
      <c r="T51" s="105">
        <f t="shared" si="4"/>
        <v>4.071802235407025E-6</v>
      </c>
      <c r="U51" s="105">
        <f>0.000001*$F$9*'Chemical Properties'!N8</f>
        <v>3.6183780472725152E-4</v>
      </c>
      <c r="V51" s="105">
        <f t="shared" si="5"/>
        <v>1.9344838401465929</v>
      </c>
      <c r="W51" s="105">
        <f>((IF(ABS('Chemical Properties'!J45)&gt;0,'Chemical Properties'!J45,'Chemical Properties'!J8)/$B$6)*(T51*$B$3+($F$10*$B$10*$B$6*$N$79*U51)+($B$6))+((IF(ABS('Chemical Properties'!I45)&gt;0,'Chemical Properties'!I45,'Chemical Properties'!I8)*$B$8*$B$3*$B$7)/$B$6)-B19)</f>
        <v>619.84347491121866</v>
      </c>
      <c r="X51" s="105">
        <f>-IF(ABS('Chemical Properties'!J45)&gt;0,'Chemical Properties'!J45,'Chemical Properties'!J8)*B19</f>
        <v>-42.47</v>
      </c>
    </row>
    <row r="52" spans="5:24">
      <c r="E52" s="124"/>
      <c r="F52" s="114"/>
      <c r="G52" s="115"/>
      <c r="M52" s="63" t="s">
        <v>7</v>
      </c>
      <c r="N52" s="105">
        <f>$F$3/($F$4*IF(ABS('Chemical Properties'!F46)&gt;0,'Chemical Properties'!F46,'Chemical Properties'!F9))</f>
        <v>1257.7464788732395</v>
      </c>
      <c r="O52" s="105">
        <f>$F$6/($F$7*IF(ABS('Chemical Properties'!G46)&gt;0,'Chemical Properties'!G46,'Chemical Properties'!G9))</f>
        <v>1.7538759689922483</v>
      </c>
      <c r="P52" s="105">
        <f>IF($N$43&lt;3.25,0.00000278*(IF(ABS('Chemical Properties'!F46)&gt;0,'Chemical Properties'!F46,'Chemical Properties'!F9)/$F$8)^(2/3),IF($N$76&lt;14,IF($N$78&lt;0.3,0.000001+0.0144*$N$78^2.2*N52^(-0.5),0.000001+0.00341*$N$78*N52^(-0.5)),IF($N$76&lt;=51.2,(0.000000002605*$N$76+0.0000001277)*$N$43^2*(IF(ABS('Chemical Properties'!F46)&gt;0,'Chemical Properties'!F46,'Chemical Properties'!F9)/$F$8)^(2/3),0.000000261*$N$43^2*(IF(ABS('Chemical Properties'!F46)&gt;0,'Chemical Properties'!F46,'Chemical Properties'!F9)/$F$8)^(2/3))))</f>
        <v>4.1048039763239402E-6</v>
      </c>
      <c r="Q52" s="105">
        <f t="shared" si="2"/>
        <v>6.0879186378890978E-3</v>
      </c>
      <c r="R52" s="105">
        <f>IF(ABS('Chemical Properties'!E46)&gt;0,'Chemical Properties'!E46,'Chemical Properties'!E9)/($F$5*($B$4+273.15))</f>
        <v>0.59645115647181168</v>
      </c>
      <c r="S52" s="105">
        <f t="shared" si="3"/>
        <v>4.1001689687073702E-6</v>
      </c>
      <c r="T52" s="105">
        <f t="shared" si="4"/>
        <v>4.1001689687073702E-6</v>
      </c>
      <c r="U52" s="105">
        <f>0.000001*$F$9*'Chemical Properties'!N9</f>
        <v>6.0050128334129512E-4</v>
      </c>
      <c r="V52" s="105">
        <f t="shared" si="5"/>
        <v>1.9441583538879539</v>
      </c>
      <c r="W52" s="105">
        <f>((IF(ABS('Chemical Properties'!J46)&gt;0,'Chemical Properties'!J46,'Chemical Properties'!J9)/$B$6)*(T52*$B$3+($F$10*$B$10*$B$6*$N$79*U52)+($B$6))+((IF(ABS('Chemical Properties'!I46)&gt;0,'Chemical Properties'!I46,'Chemical Properties'!I9)*$B$8*$B$3*$B$7)/$B$6)-B20)</f>
        <v>414.4601886210728</v>
      </c>
      <c r="X52" s="105">
        <f>-IF(ABS('Chemical Properties'!J46)&gt;0,'Chemical Properties'!J46,'Chemical Properties'!J9)*B20</f>
        <v>-10.796639224919337</v>
      </c>
    </row>
    <row r="53" spans="5:24">
      <c r="E53" s="124"/>
      <c r="F53" s="114"/>
      <c r="G53" s="115"/>
      <c r="M53" s="62" t="s">
        <v>8</v>
      </c>
      <c r="N53" s="105">
        <f>$F$3/($F$4*IF(ABS('Chemical Properties'!F47)&gt;0,'Chemical Properties'!F47,'Chemical Properties'!F10))</f>
        <v>1144.8717948717949</v>
      </c>
      <c r="O53" s="105">
        <f>$F$6/($F$7*IF(ABS('Chemical Properties'!G47)&gt;0,'Chemical Properties'!G47,'Chemical Properties'!G10))</f>
        <v>2.0111111111111115</v>
      </c>
      <c r="P53" s="105">
        <f>IF($N$43&lt;3.25,0.00000278*(IF(ABS('Chemical Properties'!F47)&gt;0,'Chemical Properties'!F47,'Chemical Properties'!F10)/$F$8)^(2/3),IF($N$76&lt;14,IF($N$78&lt;0.3,0.000001+0.0144*$N$78^2.2*N53^(-0.5),0.000001+0.00341*$N$78*N53^(-0.5)),IF($N$76&lt;=51.2,(0.000000002605*$N$76+0.0000001277)*$N$43^2*(IF(ABS('Chemical Properties'!F47)&gt;0,'Chemical Properties'!F47,'Chemical Properties'!F10)/$F$8)^(2/3),0.000000261*$N$43^2*(IF(ABS('Chemical Properties'!F47)&gt;0,'Chemical Properties'!F47,'Chemical Properties'!F10)/$F$8)^(2/3))))</f>
        <v>4.3703537512689264E-6</v>
      </c>
      <c r="Q53" s="105">
        <f t="shared" si="2"/>
        <v>5.5545121847447336E-3</v>
      </c>
      <c r="R53" s="105">
        <f>IF(ABS('Chemical Properties'!E47)&gt;0,'Chemical Properties'!E47,'Chemical Properties'!E10)/($F$5*($B$4+273.15))</f>
        <v>0.32192021321903264</v>
      </c>
      <c r="S53" s="105">
        <f t="shared" si="3"/>
        <v>4.3596981284227244E-6</v>
      </c>
      <c r="T53" s="105">
        <f t="shared" si="4"/>
        <v>4.3596981284227244E-6</v>
      </c>
      <c r="U53" s="105">
        <f>0.000001*$F$9*'Chemical Properties'!N10</f>
        <v>2.1802883784250701E-4</v>
      </c>
      <c r="V53" s="105">
        <f t="shared" si="5"/>
        <v>1.9982864559299944</v>
      </c>
      <c r="W53" s="105">
        <f>((IF(ABS('Chemical Properties'!J47)&gt;0,'Chemical Properties'!J47,'Chemical Properties'!J10)/$B$6)*(T53*$B$3+($F$10*$B$10*$B$6*$N$79*U53)+($B$6))+((IF(ABS('Chemical Properties'!I47)&gt;0,'Chemical Properties'!I47,'Chemical Properties'!I10)*$B$8*$B$3*$B$7)/$B$6)-B21)</f>
        <v>91.721276053136805</v>
      </c>
      <c r="X53" s="105">
        <f>-IF(ABS('Chemical Properties'!J47)&gt;0,'Chemical Properties'!J47,'Chemical Properties'!J10)*B21</f>
        <v>-3.2380952380952377</v>
      </c>
    </row>
    <row r="54" spans="5:24">
      <c r="E54" s="122"/>
      <c r="F54" s="114"/>
      <c r="G54" s="115"/>
      <c r="M54" s="62" t="s">
        <v>11</v>
      </c>
      <c r="N54" s="105">
        <f>$F$3/($F$4*IF(ABS('Chemical Properties'!F48)&gt;0,'Chemical Properties'!F48,'Chemical Properties'!F11))</f>
        <v>1116.25</v>
      </c>
      <c r="O54" s="105">
        <f>$F$6/($F$7*IF(ABS('Chemical Properties'!G48)&gt;0,'Chemical Properties'!G48,'Chemical Properties'!G11))</f>
        <v>2.1244131455399065</v>
      </c>
      <c r="P54" s="105">
        <f>IF($N$43&lt;3.25,0.00000278*(IF(ABS('Chemical Properties'!F48)&gt;0,'Chemical Properties'!F48,'Chemical Properties'!F11)/$F$8)^(2/3),IF($N$76&lt;14,IF($N$78&lt;0.3,0.000001+0.0144*$N$78^2.2*N54^(-0.5),0.000001+0.00341*$N$78*N54^(-0.5)),IF($N$76&lt;=51.2,(0.000000002605*$N$76+0.0000001277)*$N$43^2*(IF(ABS('Chemical Properties'!F48)&gt;0,'Chemical Properties'!F48,'Chemical Properties'!F11)/$F$8)^(2/3),0.000000261*$N$43^2*(IF(ABS('Chemical Properties'!F48)&gt;0,'Chemical Properties'!F48,'Chemical Properties'!F11)/$F$8)^(2/3))))</f>
        <v>4.4447449775242354E-6</v>
      </c>
      <c r="Q54" s="105">
        <f t="shared" si="2"/>
        <v>5.3542416858622386E-3</v>
      </c>
      <c r="R54" s="105">
        <f>IF(ABS('Chemical Properties'!E48)&gt;0,'Chemical Properties'!E48,'Chemical Properties'!E11)/($F$5*($B$4+273.15))</f>
        <v>0.11234525207517</v>
      </c>
      <c r="S54" s="105">
        <f t="shared" si="3"/>
        <v>4.4121430156561629E-6</v>
      </c>
      <c r="T54" s="105">
        <f t="shared" si="4"/>
        <v>4.4121430156561629E-6</v>
      </c>
      <c r="U54" s="105">
        <f>0.000001*$F$9*'Chemical Properties'!N11</f>
        <v>1.3756689654521078E-4</v>
      </c>
      <c r="V54" s="105">
        <f t="shared" si="5"/>
        <v>2.0091819844630581</v>
      </c>
      <c r="W54" s="105">
        <f>((IF(ABS('Chemical Properties'!J48)&gt;0,'Chemical Properties'!J48,'Chemical Properties'!J11)/$B$6)*(T54*$B$3+($F$10*$B$10*$B$6*$N$79*U54)+($B$6))+((IF(ABS('Chemical Properties'!I48)&gt;0,'Chemical Properties'!I48,'Chemical Properties'!I11)*$B$8*$B$3*$B$7)/$B$6)-B22)</f>
        <v>961.52035515804164</v>
      </c>
      <c r="X54" s="105">
        <f>-IF(ABS('Chemical Properties'!J48)&gt;0,'Chemical Properties'!J48,'Chemical Properties'!J11)*B22</f>
        <v>-282.72727272727275</v>
      </c>
    </row>
    <row r="55" spans="5:24">
      <c r="E55" s="123"/>
      <c r="F55" s="114"/>
      <c r="G55" s="115"/>
      <c r="M55" s="63" t="s">
        <v>70</v>
      </c>
      <c r="N55" s="105">
        <f>$F$3/($F$4*IF(ABS('Chemical Properties'!F49)&gt;0,'Chemical Properties'!F49,'Chemical Properties'!F12))</f>
        <v>826.85185185185185</v>
      </c>
      <c r="O55" s="105">
        <f>$F$6/($F$7*IF(ABS('Chemical Properties'!G49)&gt;0,'Chemical Properties'!G49,'Chemical Properties'!G12))</f>
        <v>0.60575635876840694</v>
      </c>
      <c r="P55" s="105">
        <f>IF($N$43&lt;3.25,0.00000278*(IF(ABS('Chemical Properties'!F49)&gt;0,'Chemical Properties'!F49,'Chemical Properties'!F12)/$F$8)^(2/3),IF($N$76&lt;14,IF($N$78&lt;0.3,0.000001+0.0144*$N$78^2.2*N55^(-0.5),0.000001+0.00341*$N$78*N55^(-0.5)),IF($N$76&lt;=51.2,(0.000000002605*$N$76+0.0000001277)*$N$43^2*(IF(ABS('Chemical Properties'!F49)&gt;0,'Chemical Properties'!F49,'Chemical Properties'!F12)/$F$8)^(2/3),0.000000261*$N$43^2*(IF(ABS('Chemical Properties'!F49)&gt;0,'Chemical Properties'!F49,'Chemical Properties'!F12)/$F$8)^(2/3))))</f>
        <v>5.4292023307185823E-6</v>
      </c>
      <c r="Q55" s="105">
        <f t="shared" si="2"/>
        <v>1.2411047560566277E-2</v>
      </c>
      <c r="R55" s="105">
        <f>IF(ABS('Chemical Properties'!E49)&gt;0,'Chemical Properties'!E49,'Chemical Properties'!E12)/($F$5*($B$4+273.15))</f>
        <v>3.0067674737209136</v>
      </c>
      <c r="S55" s="105">
        <f t="shared" si="3"/>
        <v>5.4284125607959393E-6</v>
      </c>
      <c r="T55" s="105">
        <f t="shared" si="4"/>
        <v>5.4284125607959393E-6</v>
      </c>
      <c r="U55" s="105">
        <f>0.000001*$F$9*'Chemical Properties'!N12</f>
        <v>1.5435259662477542E-5</v>
      </c>
      <c r="V55" s="105">
        <f t="shared" si="5"/>
        <v>2.2395704308347146</v>
      </c>
      <c r="W55" s="105">
        <f>((IF(ABS('Chemical Properties'!J49)&gt;0,'Chemical Properties'!J49,'Chemical Properties'!J12)/$B$6)*(T55*$B$3+($F$10*$B$10*$B$6*$N$79*U55)+($B$6))+((IF(ABS('Chemical Properties'!I49)&gt;0,'Chemical Properties'!I49,'Chemical Properties'!I12)*$B$8*$B$3*$B$7)/$B$6)-B23)</f>
        <v>242.43753559814076</v>
      </c>
      <c r="X55" s="105">
        <f>-IF(ABS('Chemical Properties'!J49)&gt;0,'Chemical Properties'!J49,'Chemical Properties'!J12)*B23</f>
        <v>-22.046017386959047</v>
      </c>
    </row>
    <row r="56" spans="5:24">
      <c r="E56" s="123"/>
      <c r="F56" s="114"/>
      <c r="G56" s="115"/>
      <c r="M56" s="63" t="s">
        <v>16</v>
      </c>
      <c r="N56" s="105">
        <f>$F$3/($F$4*IF(ABS('Chemical Properties'!F50)&gt;0,'Chemical Properties'!F50,'Chemical Properties'!F13))</f>
        <v>633.33333333333337</v>
      </c>
      <c r="O56" s="105">
        <f>$F$6/($F$7*IF(ABS('Chemical Properties'!G50)&gt;0,'Chemical Properties'!G50,'Chemical Properties'!G13))</f>
        <v>0.98829984034316398</v>
      </c>
      <c r="P56" s="105">
        <f>IF($N$43&lt;3.25,0.00000278*(IF(ABS('Chemical Properties'!F50)&gt;0,'Chemical Properties'!F50,'Chemical Properties'!F13)/$F$8)^(2/3),IF($N$76&lt;14,IF($N$78&lt;0.3,0.000001+0.0144*$N$78^2.2*N56^(-0.5),0.000001+0.00341*$N$78*N56^(-0.5)),IF($N$76&lt;=51.2,(0.000000002605*$N$76+0.0000001277)*$N$43^2*(IF(ABS('Chemical Properties'!F50)&gt;0,'Chemical Properties'!F50,'Chemical Properties'!F13)/$F$8)^(2/3),0.000000261*$N$43^2*(IF(ABS('Chemical Properties'!F50)&gt;0,'Chemical Properties'!F50,'Chemical Properties'!F13)/$F$8)^(2/3))))</f>
        <v>6.4853427227306448E-6</v>
      </c>
      <c r="Q56" s="105">
        <f t="shared" si="2"/>
        <v>8.9407230392025902E-3</v>
      </c>
      <c r="R56" s="105">
        <f>IF(ABS('Chemical Properties'!E50)&gt;0,'Chemical Properties'!E50,'Chemical Properties'!E13)/($F$5*($B$4+273.15))</f>
        <v>7.3535809436306684E-8</v>
      </c>
      <c r="S56" s="105">
        <f t="shared" si="3"/>
        <v>6.5739666086242102E-10</v>
      </c>
      <c r="T56" s="105">
        <f t="shared" si="4"/>
        <v>6.5739666086242102E-10</v>
      </c>
      <c r="U56" s="105">
        <f>0.000001*$F$9*'Chemical Properties'!N13</f>
        <v>1.4405022463925467E-9</v>
      </c>
      <c r="V56" s="105">
        <f t="shared" si="5"/>
        <v>1.0001501098645709</v>
      </c>
      <c r="W56" s="105">
        <f>((IF(ABS('Chemical Properties'!J50)&gt;0,'Chemical Properties'!J50,'Chemical Properties'!J13)/$B$6)*(T56*$B$3+($F$10*$B$10*$B$6*$N$79*U56)+($B$6))+((IF(ABS('Chemical Properties'!I50)&gt;0,'Chemical Properties'!I50,'Chemical Properties'!I13)*$B$8*$B$3*$B$7)/$B$6)-B24)</f>
        <v>511.5420529735311</v>
      </c>
      <c r="X56" s="105">
        <f>-IF(ABS('Chemical Properties'!J50)&gt;0,'Chemical Properties'!J50,'Chemical Properties'!J13)*B24</f>
        <v>-289.76897689768975</v>
      </c>
    </row>
    <row r="57" spans="5:24">
      <c r="E57" s="124"/>
      <c r="F57" s="114"/>
      <c r="G57" s="115"/>
      <c r="M57" s="60" t="s">
        <v>71</v>
      </c>
      <c r="N57" s="105">
        <f>$F$3/($F$4*IF(ABS('Chemical Properties'!F51)&gt;0,'Chemical Properties'!F51,'Chemical Properties'!F14))</f>
        <v>1144.8717948717949</v>
      </c>
      <c r="O57" s="105">
        <f>$F$6/($F$7*IF(ABS('Chemical Properties'!G51)&gt;0,'Chemical Properties'!G51,'Chemical Properties'!G14))</f>
        <v>2.0111111111111115</v>
      </c>
      <c r="P57" s="105">
        <f>IF($N$43&lt;3.25,0.00000278*(IF(ABS('Chemical Properties'!F51)&gt;0,'Chemical Properties'!F51,'Chemical Properties'!F14)/$F$8)^(2/3),IF($N$76&lt;14,IF($N$78&lt;0.3,0.000001+0.0144*$N$78^2.2*N57^(-0.5),0.000001+0.00341*$N$78*N57^(-0.5)),IF($N$76&lt;=51.2,(0.000000002605*$N$76+0.0000001277)*$N$43^2*(IF(ABS('Chemical Properties'!F51)&gt;0,'Chemical Properties'!F51,'Chemical Properties'!F14)/$F$8)^(2/3),0.000000261*$N$43^2*(IF(ABS('Chemical Properties'!F51)&gt;0,'Chemical Properties'!F51,'Chemical Properties'!F14)/$F$8)^(2/3))))</f>
        <v>4.3703537512689264E-6</v>
      </c>
      <c r="Q57" s="105">
        <f t="shared" si="2"/>
        <v>5.5545121847447336E-3</v>
      </c>
      <c r="R57" s="105">
        <f>IF(ABS('Chemical Properties'!E51)&gt;0,'Chemical Properties'!E51,'Chemical Properties'!E14)/($F$5*($B$4+273.15))</f>
        <v>5.6390017353864438E-3</v>
      </c>
      <c r="S57" s="105">
        <f t="shared" si="3"/>
        <v>3.8352239165261083E-6</v>
      </c>
      <c r="T57" s="105">
        <f t="shared" si="4"/>
        <v>3.8352239165261083E-6</v>
      </c>
      <c r="U57" s="105">
        <f>0.000001*$F$9*'Chemical Properties'!N14</f>
        <v>2.4463237962930282E-6</v>
      </c>
      <c r="V57" s="105">
        <f t="shared" si="5"/>
        <v>1.8756546794891236</v>
      </c>
      <c r="W57" s="105">
        <f>((IF(ABS('Chemical Properties'!J51)&gt;0,'Chemical Properties'!J51,'Chemical Properties'!J14)/$B$6)*(T57*$B$3+($F$10*$B$10*$B$6*$N$79*U57)+($B$6))+((IF(ABS('Chemical Properties'!I51)&gt;0,'Chemical Properties'!I51,'Chemical Properties'!I14)*$B$8*$B$3*$B$7)/$B$6)-B25)</f>
        <v>11.459698833458756</v>
      </c>
      <c r="X57" s="105">
        <f>-IF(ABS('Chemical Properties'!J51)&gt;0,'Chemical Properties'!J51,'Chemical Properties'!J14)*B25</f>
        <v>-1.6386813840923011</v>
      </c>
    </row>
    <row r="58" spans="5:24">
      <c r="E58" s="124"/>
      <c r="F58" s="114"/>
      <c r="G58" s="115"/>
      <c r="M58" s="62" t="s">
        <v>12</v>
      </c>
      <c r="N58" s="105">
        <f>$F$3/($F$4*IF(ABS('Chemical Properties'!F52)&gt;0,'Chemical Properties'!F52,'Chemical Properties'!F15))</f>
        <v>1038.3720930232557</v>
      </c>
      <c r="O58" s="105">
        <f>$F$6/($F$7*IF(ABS('Chemical Properties'!G52)&gt;0,'Chemical Properties'!G52,'Chemical Properties'!G15))</f>
        <v>1.7337164750957856</v>
      </c>
      <c r="P58" s="105">
        <f>IF($N$43&lt;3.25,0.00000278*(IF(ABS('Chemical Properties'!F52)&gt;0,'Chemical Properties'!F52,'Chemical Properties'!F15)/$F$8)^(2/3),IF($N$76&lt;14,IF($N$78&lt;0.3,0.000001+0.0144*$N$78^2.2*N58^(-0.5),0.000001+0.00341*$N$78*N58^(-0.5)),IF($N$76&lt;=51.2,(0.000000002605*$N$76+0.0000001277)*$N$43^2*(IF(ABS('Chemical Properties'!F52)&gt;0,'Chemical Properties'!F52,'Chemical Properties'!F15)/$F$8)^(2/3),0.000000261*$N$43^2*(IF(ABS('Chemical Properties'!F52)&gt;0,'Chemical Properties'!F52,'Chemical Properties'!F15)/$F$8)^(2/3))))</f>
        <v>4.6642930006232235E-6</v>
      </c>
      <c r="Q58" s="105">
        <f t="shared" si="2"/>
        <v>6.1352572396511217E-3</v>
      </c>
      <c r="R58" s="105">
        <f>IF(ABS('Chemical Properties'!E52)&gt;0,'Chemical Properties'!E52,'Chemical Properties'!E15)/($F$5*($B$4+273.15))</f>
        <v>0.27126271773786503</v>
      </c>
      <c r="S58" s="105">
        <f t="shared" si="3"/>
        <v>4.6512573321593265E-6</v>
      </c>
      <c r="T58" s="105">
        <f t="shared" si="4"/>
        <v>4.6512573321593265E-6</v>
      </c>
      <c r="U58" s="105">
        <f>0.000001*$F$9*'Chemical Properties'!N15</f>
        <v>8.8820648529588301E-5</v>
      </c>
      <c r="V58" s="105">
        <f t="shared" si="5"/>
        <v>2.0631210944435674</v>
      </c>
      <c r="W58" s="105">
        <f>((IF(ABS('Chemical Properties'!J52)&gt;0,'Chemical Properties'!J52,'Chemical Properties'!J15)/$B$6)*(T58*$B$3+($F$10*$B$10*$B$6*$N$79*U58)+($B$6))+((IF(ABS('Chemical Properties'!I52)&gt;0,'Chemical Properties'!I52,'Chemical Properties'!I15)*$B$8*$B$3*$B$7)/$B$6)-B26)</f>
        <v>994.180096828356</v>
      </c>
      <c r="X58" s="105">
        <f>-IF(ABS('Chemical Properties'!J52)&gt;0,'Chemical Properties'!J52,'Chemical Properties'!J15)*B26</f>
        <v>-30.616666666666671</v>
      </c>
    </row>
    <row r="59" spans="5:24">
      <c r="E59" s="125"/>
      <c r="F59" s="114"/>
      <c r="G59" s="115"/>
      <c r="M59" s="62" t="s">
        <v>10</v>
      </c>
      <c r="N59" s="105">
        <f>$F$3/($F$4*IF(ABS('Chemical Properties'!F53)&gt;0,'Chemical Properties'!F53,'Chemical Properties'!F16))</f>
        <v>981.31868131868146</v>
      </c>
      <c r="O59" s="105">
        <f>$F$6/($F$7*IF(ABS('Chemical Properties'!G53)&gt;0,'Chemical Properties'!G53,'Chemical Properties'!G16))</f>
        <v>1.8394308943089432</v>
      </c>
      <c r="P59" s="105">
        <f>IF($N$43&lt;3.25,0.00000278*(IF(ABS('Chemical Properties'!F53)&gt;0,'Chemical Properties'!F53,'Chemical Properties'!F16)/$F$8)^(2/3),IF($N$76&lt;14,IF($N$78&lt;0.3,0.000001+0.0144*$N$78^2.2*N59^(-0.5),0.000001+0.00341*$N$78*N59^(-0.5)),IF($N$76&lt;=51.2,(0.000000002605*$N$76+0.0000001277)*$N$43^2*(IF(ABS('Chemical Properties'!F53)&gt;0,'Chemical Properties'!F53,'Chemical Properties'!F16)/$F$8)^(2/3),0.000000261*$N$43^2*(IF(ABS('Chemical Properties'!F53)&gt;0,'Chemical Properties'!F53,'Chemical Properties'!F16)/$F$8)^(2/3))))</f>
        <v>4.8433715316388113E-6</v>
      </c>
      <c r="Q59" s="105">
        <f t="shared" si="2"/>
        <v>5.8967152778207988E-3</v>
      </c>
      <c r="R59" s="105">
        <f>IF(ABS('Chemical Properties'!E53)&gt;0,'Chemical Properties'!E53,'Chemical Properties'!E16)/($F$5*($B$4+273.15))</f>
        <v>1.621856911776091E-5</v>
      </c>
      <c r="S59" s="105">
        <f t="shared" si="3"/>
        <v>9.3784434857688702E-8</v>
      </c>
      <c r="T59" s="105">
        <f t="shared" si="4"/>
        <v>9.3784434857688702E-8</v>
      </c>
      <c r="U59" s="105">
        <f>0.000001*$F$9*'Chemical Properties'!N16</f>
        <v>4.7699512434615613E-6</v>
      </c>
      <c r="V59" s="105">
        <f t="shared" si="5"/>
        <v>1.0214758887753583</v>
      </c>
      <c r="W59" s="105">
        <f>((IF(ABS('Chemical Properties'!J53)&gt;0,'Chemical Properties'!J53,'Chemical Properties'!J16)/$B$6)*(T59*$B$3+($F$10*$B$10*$B$6*$N$79*U59)+($B$6))+((IF(ABS('Chemical Properties'!I53)&gt;0,'Chemical Properties'!I53,'Chemical Properties'!I16)*$B$8*$B$3*$B$7)/$B$6)-B27)</f>
        <v>1236.9617106016976</v>
      </c>
      <c r="X59" s="105">
        <f>-IF(ABS('Chemical Properties'!J53)&gt;0,'Chemical Properties'!J53,'Chemical Properties'!J16)*B27</f>
        <v>-7.4615384615384617</v>
      </c>
    </row>
    <row r="60" spans="5:24">
      <c r="E60" s="124"/>
      <c r="F60" s="114"/>
      <c r="G60" s="115"/>
      <c r="M60" s="63" t="s">
        <v>72</v>
      </c>
      <c r="N60" s="105">
        <f>$F$3/($F$4*IF(ABS('Chemical Properties'!F54)&gt;0,'Chemical Properties'!F54,'Chemical Properties'!F17))</f>
        <v>1149.2921492921494</v>
      </c>
      <c r="O60" s="105">
        <f>$F$6/($F$7*IF(ABS('Chemical Properties'!G54)&gt;0,'Chemical Properties'!G54,'Chemical Properties'!G17))</f>
        <v>0.75416666666666676</v>
      </c>
      <c r="P60" s="105">
        <f>IF($N$43&lt;3.25,0.00000278*(IF(ABS('Chemical Properties'!F54)&gt;0,'Chemical Properties'!F54,'Chemical Properties'!F17)/$F$8)^(2/3),IF($N$76&lt;14,IF($N$78&lt;0.3,0.000001+0.0144*$N$78^2.2*N60^(-0.5),0.000001+0.00341*$N$78*N60^(-0.5)),IF($N$76&lt;=51.2,(0.000000002605*$N$76+0.0000001277)*$N$43^2*(IF(ABS('Chemical Properties'!F54)&gt;0,'Chemical Properties'!F54,'Chemical Properties'!F17)/$F$8)^(2/3),0.000000261*$N$43^2*(IF(ABS('Chemical Properties'!F54)&gt;0,'Chemical Properties'!F54,'Chemical Properties'!F17)/$F$8)^(2/3))))</f>
        <v>4.3591405203464652E-6</v>
      </c>
      <c r="Q60" s="105">
        <f t="shared" si="2"/>
        <v>1.0716302747817506E-2</v>
      </c>
      <c r="R60" s="105">
        <f>IF(ABS('Chemical Properties'!E54)&gt;0,'Chemical Properties'!E54,'Chemical Properties'!E17)/($F$5*($B$4+273.15))</f>
        <v>4.9840439102439058</v>
      </c>
      <c r="S60" s="105">
        <f t="shared" si="3"/>
        <v>4.3587847748097463E-6</v>
      </c>
      <c r="T60" s="105">
        <f t="shared" si="4"/>
        <v>4.3587847748097463E-6</v>
      </c>
      <c r="U60" s="105">
        <f>0.000001*$F$9*'Chemical Properties'!N17</f>
        <v>1.579479304664707E-3</v>
      </c>
      <c r="V60" s="105">
        <f t="shared" si="5"/>
        <v>2.0163213639632711</v>
      </c>
      <c r="W60" s="105">
        <f>((IF(ABS('Chemical Properties'!J54)&gt;0,'Chemical Properties'!J54,'Chemical Properties'!J17)/$B$6)*(T60*$B$3+($F$10*$B$10*$B$6*$N$79*U60)+($B$6))+((IF(ABS('Chemical Properties'!I54)&gt;0,'Chemical Properties'!I54,'Chemical Properties'!I17)*$B$8*$B$3*$B$7)/$B$6)-B28)</f>
        <v>214.07333929049929</v>
      </c>
      <c r="X60" s="105">
        <f>-IF(ABS('Chemical Properties'!J54)&gt;0,'Chemical Properties'!J54,'Chemical Properties'!J17)*B28</f>
        <v>-10.41967452478112</v>
      </c>
    </row>
    <row r="61" spans="5:24">
      <c r="E61" s="125"/>
      <c r="F61" s="114"/>
      <c r="G61" s="115"/>
      <c r="M61" s="63" t="s">
        <v>73</v>
      </c>
      <c r="N61" s="105">
        <f>$F$3/($F$4*IF(ABS('Chemical Properties'!F55)&gt;0,'Chemical Properties'!F55,'Chemical Properties'!F18))</f>
        <v>960.21505376344078</v>
      </c>
      <c r="O61" s="105">
        <f>$F$6/($F$7*IF(ABS('Chemical Properties'!G55)&gt;0,'Chemical Properties'!G55,'Chemical Properties'!G18))</f>
        <v>2.1733909702209413</v>
      </c>
      <c r="P61" s="105">
        <f>IF($N$43&lt;3.25,0.00000278*(IF(ABS('Chemical Properties'!F55)&gt;0,'Chemical Properties'!F55,'Chemical Properties'!F18)/$F$8)^(2/3),IF($N$76&lt;14,IF($N$78&lt;0.3,0.000001+0.0144*$N$78^2.2*N61^(-0.5),0.000001+0.00341*$N$78*N61^(-0.5)),IF($N$76&lt;=51.2,(0.000000002605*$N$76+0.0000001277)*$N$43^2*(IF(ABS('Chemical Properties'!F55)&gt;0,'Chemical Properties'!F55,'Chemical Properties'!F18)/$F$8)^(2/3),0.000000261*$N$43^2*(IF(ABS('Chemical Properties'!F55)&gt;0,'Chemical Properties'!F55,'Chemical Properties'!F18)/$F$8)^(2/3))))</f>
        <v>4.914079243746299E-6</v>
      </c>
      <c r="Q61" s="105">
        <f t="shared" si="2"/>
        <v>5.2730965406760462E-3</v>
      </c>
      <c r="R61" s="105">
        <f>IF(ABS('Chemical Properties'!E55)&gt;0,'Chemical Properties'!E55,'Chemical Properties'!E18)/($F$5*($B$4+273.15))</f>
        <v>6.618156667700924E-5</v>
      </c>
      <c r="S61" s="105">
        <f t="shared" si="3"/>
        <v>3.2584158934692379E-7</v>
      </c>
      <c r="T61" s="105">
        <f t="shared" si="4"/>
        <v>3.2584158934692379E-7</v>
      </c>
      <c r="U61" s="105">
        <f>0.000001*$F$9*'Chemical Properties'!N18</f>
        <v>1.5794793046647064E-7</v>
      </c>
      <c r="V61" s="105">
        <f t="shared" si="5"/>
        <v>1.0743951734307895</v>
      </c>
      <c r="W61" s="105">
        <f>((IF(ABS('Chemical Properties'!J55)&gt;0,'Chemical Properties'!J55,'Chemical Properties'!J18)/$B$6)*(T61*$B$3+($F$10*$B$10*$B$6*$N$79*U61)+($B$6))+((IF(ABS('Chemical Properties'!I55)&gt;0,'Chemical Properties'!I55,'Chemical Properties'!I18)*$B$8*$B$3*$B$7)/$B$6)-B29)</f>
        <v>292.18367972056996</v>
      </c>
      <c r="X61" s="105">
        <f>-IF(ABS('Chemical Properties'!J55)&gt;0,'Chemical Properties'!J55,'Chemical Properties'!J18)*B29</f>
        <v>-1.3529411764705883</v>
      </c>
    </row>
    <row r="62" spans="5:24">
      <c r="E62" s="126"/>
      <c r="F62" s="114"/>
      <c r="G62" s="115"/>
      <c r="M62" s="64" t="s">
        <v>74</v>
      </c>
      <c r="N62" s="105">
        <f>$F$3/($F$4*IF(ABS('Chemical Properties'!F56)&gt;0,'Chemical Properties'!F56,'Chemical Properties'!F19))</f>
        <v>956.10278372591006</v>
      </c>
      <c r="O62" s="105">
        <f>$F$6/($F$7*IF(ABS('Chemical Properties'!G56)&gt;0,'Chemical Properties'!G56,'Chemical Properties'!G19))</f>
        <v>2.1125116713352012</v>
      </c>
      <c r="P62" s="105">
        <f>IF($N$43&lt;3.25,0.00000278*(IF(ABS('Chemical Properties'!F56)&gt;0,'Chemical Properties'!F56,'Chemical Properties'!F19)/$F$8)^(2/3),IF($N$76&lt;14,IF($N$78&lt;0.3,0.000001+0.0144*$N$78^2.2*N62^(-0.5),0.000001+0.00341*$N$78*N62^(-0.5)),IF($N$76&lt;=51.2,(0.000000002605*$N$76+0.0000001277)*$N$43^2*(IF(ABS('Chemical Properties'!F56)&gt;0,'Chemical Properties'!F56,'Chemical Properties'!F19)/$F$8)^(2/3),0.000000261*$N$43^2*(IF(ABS('Chemical Properties'!F56)&gt;0,'Chemical Properties'!F56,'Chemical Properties'!F19)/$F$8)^(2/3))))</f>
        <v>4.9281597120567902E-6</v>
      </c>
      <c r="Q62" s="105">
        <f t="shared" si="2"/>
        <v>5.374433322589185E-3</v>
      </c>
      <c r="R62" s="105">
        <f>IF(ABS('Chemical Properties'!E56)&gt;0,'Chemical Properties'!E56,'Chemical Properties'!E19)/($F$5*($B$4+273.15))</f>
        <v>0.24680162834678984</v>
      </c>
      <c r="S62" s="105">
        <f t="shared" si="3"/>
        <v>4.9099174678175767E-6</v>
      </c>
      <c r="T62" s="105">
        <f t="shared" si="4"/>
        <v>4.9099174678175767E-6</v>
      </c>
      <c r="U62" s="105">
        <f>0.000001*$F$9*'Chemical Properties'!N19</f>
        <v>2.3362210884676578E-4</v>
      </c>
      <c r="V62" s="105">
        <f t="shared" si="5"/>
        <v>2.1241162595045688</v>
      </c>
      <c r="W62" s="105">
        <f>((IF(ABS('Chemical Properties'!J56)&gt;0,'Chemical Properties'!J56,'Chemical Properties'!J19)/$B$6)*(T62*$B$3+($F$10*$B$10*$B$6*$N$79*U62)+($B$6))+((IF(ABS('Chemical Properties'!I56)&gt;0,'Chemical Properties'!I56,'Chemical Properties'!I19)*$B$8*$B$3*$B$7)/$B$6)-B30)</f>
        <v>564.65044039047484</v>
      </c>
      <c r="X62" s="105">
        <f>-IF(ABS('Chemical Properties'!J56)&gt;0,'Chemical Properties'!J56,'Chemical Properties'!J19)*B30</f>
        <v>-22.666666666666664</v>
      </c>
    </row>
    <row r="63" spans="5:24">
      <c r="E63" s="126"/>
      <c r="F63" s="114"/>
      <c r="G63" s="115"/>
      <c r="M63" s="63" t="s">
        <v>75</v>
      </c>
      <c r="N63" s="105">
        <f>$F$3/($F$4*IF(ABS('Chemical Properties'!F57)&gt;0,'Chemical Properties'!F57,'Chemical Properties'!F20))</f>
        <v>850.4761904761906</v>
      </c>
      <c r="O63" s="105">
        <f>$F$6/($F$7*IF(ABS('Chemical Properties'!G57)&gt;0,'Chemical Properties'!G57,'Chemical Properties'!G20))</f>
        <v>1.4729817708333335</v>
      </c>
      <c r="P63" s="105">
        <f>IF($N$43&lt;3.25,0.00000278*(IF(ABS('Chemical Properties'!F57)&gt;0,'Chemical Properties'!F57,'Chemical Properties'!F20)/$F$8)^(2/3),IF($N$76&lt;14,IF($N$78&lt;0.3,0.000001+0.0144*$N$78^2.2*N63^(-0.5),0.000001+0.00341*$N$78*N63^(-0.5)),IF($N$76&lt;=51.2,(0.000000002605*$N$76+0.0000001277)*$N$43^2*(IF(ABS('Chemical Properties'!F57)&gt;0,'Chemical Properties'!F57,'Chemical Properties'!F20)/$F$8)^(2/3),0.000000261*$N$43^2*(IF(ABS('Chemical Properties'!F57)&gt;0,'Chemical Properties'!F57,'Chemical Properties'!F20)/$F$8)^(2/3))))</f>
        <v>5.3281902388488215E-6</v>
      </c>
      <c r="Q63" s="105">
        <f t="shared" si="2"/>
        <v>6.8431466683709979E-3</v>
      </c>
      <c r="R63" s="105">
        <f>IF(ABS('Chemical Properties'!E57)&gt;0,'Chemical Properties'!E57,'Chemical Properties'!E20)/($F$5*($B$4+273.15))</f>
        <v>2.267844153849265E-2</v>
      </c>
      <c r="S63" s="105">
        <f t="shared" si="3"/>
        <v>5.1513300658580768E-6</v>
      </c>
      <c r="T63" s="105">
        <f t="shared" si="4"/>
        <v>5.1513300658580768E-6</v>
      </c>
      <c r="U63" s="105">
        <f>0.000001*$F$9*'Chemical Properties'!N20</f>
        <v>1.2588788578478174E-5</v>
      </c>
      <c r="V63" s="105">
        <f t="shared" si="5"/>
        <v>2.1762714445290694</v>
      </c>
      <c r="W63" s="105">
        <f>((IF(ABS('Chemical Properties'!J57)&gt;0,'Chemical Properties'!J57,'Chemical Properties'!J20)/$B$6)*(T63*$B$3+($F$10*$B$10*$B$6*$N$79*U63)+($B$6))+((IF(ABS('Chemical Properties'!I57)&gt;0,'Chemical Properties'!I57,'Chemical Properties'!I20)*$B$8*$B$3*$B$7)/$B$6)-B31)</f>
        <v>275.35127738295682</v>
      </c>
      <c r="X63" s="105">
        <f>-IF(ABS('Chemical Properties'!J57)&gt;0,'Chemical Properties'!J57,'Chemical Properties'!J20)*B31</f>
        <v>-24.63925105656925</v>
      </c>
    </row>
    <row r="64" spans="5:24">
      <c r="E64" s="126"/>
      <c r="F64" s="114"/>
      <c r="G64" s="115"/>
      <c r="M64" s="64" t="s">
        <v>78</v>
      </c>
      <c r="N64" s="105">
        <f>$F$3/($F$4*IF(ABS('Chemical Properties'!F58)&gt;0,'Chemical Properties'!F58,'Chemical Properties'!F21))</f>
        <v>1089.0243902439026</v>
      </c>
      <c r="O64" s="105">
        <f>$F$6/($F$7*IF(ABS('Chemical Properties'!G58)&gt;0,'Chemical Properties'!G58,'Chemical Properties'!G21))</f>
        <v>3.7334983498349841</v>
      </c>
      <c r="P64" s="105">
        <f>IF($N$43&lt;3.25,0.00000278*(IF(ABS('Chemical Properties'!F58)&gt;0,'Chemical Properties'!F58,'Chemical Properties'!F21)/$F$8)^(2/3),IF($N$76&lt;14,IF($N$78&lt;0.3,0.000001+0.0144*$N$78^2.2*N64^(-0.5),0.000001+0.00341*$N$78*N64^(-0.5)),IF($N$76&lt;=51.2,(0.000000002605*$N$76+0.0000001277)*$N$43^2*(IF(ABS('Chemical Properties'!F58)&gt;0,'Chemical Properties'!F58,'Chemical Properties'!F21)/$F$8)^(2/3),0.000000261*$N$43^2*(IF(ABS('Chemical Properties'!F58)&gt;0,'Chemical Properties'!F58,'Chemical Properties'!F21)/$F$8)^(2/3))))</f>
        <v>4.5185187780284825E-6</v>
      </c>
      <c r="Q64" s="105">
        <f t="shared" si="2"/>
        <v>3.669698564085784E-3</v>
      </c>
      <c r="R64" s="105">
        <f>IF(ABS('Chemical Properties'!E58)&gt;0,'Chemical Properties'!E58,'Chemical Properties'!E21)/($F$5*($B$4+273.15))</f>
        <v>1.1438789302199128E-2</v>
      </c>
      <c r="S64" s="105">
        <f t="shared" si="3"/>
        <v>4.0794000718487484E-6</v>
      </c>
      <c r="T64" s="105">
        <f t="shared" si="4"/>
        <v>4.0794000718487484E-6</v>
      </c>
      <c r="U64" s="105">
        <f>0.000001*$F$9*'Chemical Properties'!N21</f>
        <v>9.0889547210159583E-4</v>
      </c>
      <c r="V64" s="105">
        <f t="shared" si="5"/>
        <v>1.943549078743684</v>
      </c>
      <c r="W64" s="105">
        <f>((IF(ABS('Chemical Properties'!J58)&gt;0,'Chemical Properties'!J58,'Chemical Properties'!J21)/$B$6)*(T64*$B$3+($F$10*$B$10*$B$6*$N$79*U64)+($B$6))+((IF(ABS('Chemical Properties'!I58)&gt;0,'Chemical Properties'!I58,'Chemical Properties'!I21)*$B$8*$B$3*$B$7)/$B$6)-B32)</f>
        <v>266.37115657384658</v>
      </c>
      <c r="X64" s="105">
        <f>-IF(ABS('Chemical Properties'!J58)&gt;0,'Chemical Properties'!J58,'Chemical Properties'!J21)*B32</f>
        <v>-13.571428571428573</v>
      </c>
    </row>
    <row r="65" spans="5:30">
      <c r="E65" s="126"/>
      <c r="F65" s="114"/>
      <c r="G65" s="115"/>
      <c r="M65" s="65" t="s">
        <v>14</v>
      </c>
      <c r="N65" s="105">
        <f>$F$3/($F$4*IF(ABS('Chemical Properties'!F59)&gt;0,'Chemical Properties'!F59,'Chemical Properties'!F22))</f>
        <v>686.92307692307702</v>
      </c>
      <c r="O65" s="105">
        <f>$F$6/($F$7*IF(ABS('Chemical Properties'!G59)&gt;0,'Chemical Properties'!G59,'Chemical Properties'!G22))</f>
        <v>0.93279736136878999</v>
      </c>
      <c r="P65" s="105">
        <f>IF($N$43&lt;3.25,0.00000278*(IF(ABS('Chemical Properties'!F59)&gt;0,'Chemical Properties'!F59,'Chemical Properties'!F22)/$F$8)^(2/3),IF($N$76&lt;14,IF($N$78&lt;0.3,0.000001+0.0144*$N$78^2.2*N65^(-0.5),0.000001+0.00341*$N$78*N65^(-0.5)),IF($N$76&lt;=51.2,(0.000000002605*$N$76+0.0000001277)*$N$43^2*(IF(ABS('Chemical Properties'!F59)&gt;0,'Chemical Properties'!F59,'Chemical Properties'!F22)/$F$8)^(2/3),0.000000261*$N$43^2*(IF(ABS('Chemical Properties'!F59)&gt;0,'Chemical Properties'!F59,'Chemical Properties'!F22)/$F$8)^(2/3))))</f>
        <v>6.143498521240414E-6</v>
      </c>
      <c r="Q65" s="105">
        <f t="shared" si="2"/>
        <v>9.2937415429058326E-3</v>
      </c>
      <c r="R65" s="105">
        <f>IF(ABS('Chemical Properties'!E59)&gt;0,'Chemical Properties'!E59,'Chemical Properties'!E22)/($F$5*($B$4+273.15))</f>
        <v>2.0099586916721326</v>
      </c>
      <c r="S65" s="105">
        <f t="shared" si="3"/>
        <v>6.1414787090638732E-6</v>
      </c>
      <c r="T65" s="105">
        <f t="shared" si="4"/>
        <v>6.1414787090638732E-6</v>
      </c>
      <c r="U65" s="105">
        <f>0.000001*$F$9*'Chemical Properties'!N22</f>
        <v>9.9865145680190467E-7</v>
      </c>
      <c r="V65" s="105">
        <f t="shared" si="5"/>
        <v>2.4021774707568895</v>
      </c>
      <c r="W65" s="105">
        <f>((IF(ABS('Chemical Properties'!J59)&gt;0,'Chemical Properties'!J59,'Chemical Properties'!J22)/$B$6)*(T65*$B$3+($F$10*$B$10*$B$6*$N$79*U65)+($B$6))+((IF(ABS('Chemical Properties'!I59)&gt;0,'Chemical Properties'!I59,'Chemical Properties'!I22)*$B$8*$B$3*$B$7)/$B$6)-B33)</f>
        <v>234.34905350804951</v>
      </c>
      <c r="X65" s="105">
        <f>-IF(ABS('Chemical Properties'!J59)&gt;0,'Chemical Properties'!J59,'Chemical Properties'!J22)*B33</f>
        <v>-17.121913733084138</v>
      </c>
    </row>
    <row r="66" spans="5:30">
      <c r="E66" s="126"/>
      <c r="F66" s="114"/>
      <c r="G66" s="115"/>
      <c r="M66" s="65" t="s">
        <v>79</v>
      </c>
      <c r="N66" s="105">
        <f>$F$3/($F$4*IF(ABS('Chemical Properties'!F60)&gt;0,'Chemical Properties'!F60,'Chemical Properties'!F23))</f>
        <v>902.02020202020208</v>
      </c>
      <c r="O66" s="105">
        <f>$F$6/($F$7*IF(ABS('Chemical Properties'!G60)&gt;0,'Chemical Properties'!G60,'Chemical Properties'!G23))</f>
        <v>1.4503205128205132</v>
      </c>
      <c r="P66" s="105">
        <f>IF($N$43&lt;3.25,0.00000278*(IF(ABS('Chemical Properties'!F60)&gt;0,'Chemical Properties'!F60,'Chemical Properties'!F23)/$F$8)^(2/3),IF($N$76&lt;14,IF($N$78&lt;0.3,0.000001+0.0144*$N$78^2.2*N66^(-0.5),0.000001+0.00341*$N$78*N66^(-0.5)),IF($N$76&lt;=51.2,(0.000000002605*$N$76+0.0000001277)*$N$43^2*(IF(ABS('Chemical Properties'!F60)&gt;0,'Chemical Properties'!F60,'Chemical Properties'!F23)/$F$8)^(2/3),0.000000261*$N$43^2*(IF(ABS('Chemical Properties'!F60)&gt;0,'Chemical Properties'!F60,'Chemical Properties'!F23)/$F$8)^(2/3))))</f>
        <v>5.1232276359205155E-6</v>
      </c>
      <c r="Q66" s="105">
        <f t="shared" si="2"/>
        <v>6.9146024331359747E-3</v>
      </c>
      <c r="R66" s="105">
        <f>IF(ABS('Chemical Properties'!E60)&gt;0,'Chemical Properties'!E60,'Chemical Properties'!E23)/($F$5*($B$4+273.15))</f>
        <v>5.7193946510995644E-2</v>
      </c>
      <c r="S66" s="105">
        <f t="shared" si="3"/>
        <v>5.0577067116616049E-6</v>
      </c>
      <c r="T66" s="105">
        <f t="shared" si="4"/>
        <v>5.0577067116616049E-6</v>
      </c>
      <c r="U66" s="105">
        <f>0.000001*$F$9*'Chemical Properties'!N23</f>
        <v>4.7699512434615613E-6</v>
      </c>
      <c r="V66" s="105">
        <f t="shared" si="5"/>
        <v>2.1547914770867549</v>
      </c>
      <c r="W66" s="105">
        <f>((IF(ABS('Chemical Properties'!J60)&gt;0,'Chemical Properties'!J60,'Chemical Properties'!J23)/$B$6)*(T66*$B$3+($F$10*$B$10*$B$6*$N$79*U66)+($B$6))+((IF(ABS('Chemical Properties'!I60)&gt;0,'Chemical Properties'!I60,'Chemical Properties'!I23)*$B$8*$B$3*$B$7)/$B$6)-B34)</f>
        <v>30.252205852596241</v>
      </c>
      <c r="X66" s="105">
        <f>-IF(ABS('Chemical Properties'!J60)&gt;0,'Chemical Properties'!J60,'Chemical Properties'!J23)*B34</f>
        <v>-2.1429</v>
      </c>
    </row>
    <row r="67" spans="5:30">
      <c r="E67" s="126"/>
      <c r="F67" s="114"/>
      <c r="G67" s="115"/>
      <c r="M67" s="65" t="s">
        <v>15</v>
      </c>
      <c r="N67" s="105">
        <f>$F$3/($F$4*IF(ABS('Chemical Properties'!F61)&gt;0,'Chemical Properties'!F61,'Chemical Properties'!F24))</f>
        <v>911.22448979591843</v>
      </c>
      <c r="O67" s="105">
        <f>$F$6/($F$7*IF(ABS('Chemical Properties'!G61)&gt;0,'Chemical Properties'!G61,'Chemical Properties'!G24))</f>
        <v>2.1425189393939394</v>
      </c>
      <c r="P67" s="105">
        <f>IF($N$43&lt;3.25,0.00000278*(IF(ABS('Chemical Properties'!F61)&gt;0,'Chemical Properties'!F61,'Chemical Properties'!F24)/$F$8)^(2/3),IF($N$76&lt;14,IF($N$78&lt;0.3,0.000001+0.0144*$N$78^2.2*N67^(-0.5),0.000001+0.00341*$N$78*N67^(-0.5)),IF($N$76&lt;=51.2,(0.000000002605*$N$76+0.0000001277)*$N$43^2*(IF(ABS('Chemical Properties'!F61)&gt;0,'Chemical Properties'!F61,'Chemical Properties'!F24)/$F$8)^(2/3),0.000000261*$N$43^2*(IF(ABS('Chemical Properties'!F61)&gt;0,'Chemical Properties'!F61,'Chemical Properties'!F24)/$F$8)^(2/3))))</f>
        <v>5.0886694436758132E-6</v>
      </c>
      <c r="Q67" s="105">
        <f t="shared" si="2"/>
        <v>5.3238836901092802E-3</v>
      </c>
      <c r="R67" s="105">
        <f>IF(ABS('Chemical Properties'!E61)&gt;0,'Chemical Properties'!E61,'Chemical Properties'!E24)/($F$5*($B$4+273.15))</f>
        <v>1.5810040928396652E-9</v>
      </c>
      <c r="S67" s="105">
        <f t="shared" si="3"/>
        <v>8.4170679813355829E-12</v>
      </c>
      <c r="T67" s="105">
        <f t="shared" si="4"/>
        <v>8.4170679813355829E-12</v>
      </c>
      <c r="U67" s="105">
        <f>0.000001*$F$9*'Chemical Properties'!N24</f>
        <v>5.8683220531284451E-9</v>
      </c>
      <c r="V67" s="105">
        <f t="shared" si="5"/>
        <v>1.0000020003405341</v>
      </c>
      <c r="W67" s="105">
        <f>((IF(ABS('Chemical Properties'!J61)&gt;0,'Chemical Properties'!J61,'Chemical Properties'!J24)/$B$6)*(T67*$B$3+($F$10*$B$10*$B$6*$N$79*U67)+($B$6))+((IF(ABS('Chemical Properties'!I61)&gt;0,'Chemical Properties'!I61,'Chemical Properties'!I24)*$B$8*$B$3*$B$7)/$B$6)-B35)</f>
        <v>168.8453149017077</v>
      </c>
      <c r="X67" s="105">
        <f>-IF(ABS('Chemical Properties'!J61)&gt;0,'Chemical Properties'!J61,'Chemical Properties'!J24)*B35</f>
        <v>-70.909099999999995</v>
      </c>
    </row>
    <row r="68" spans="5:30">
      <c r="E68" s="126"/>
      <c r="F68" s="114"/>
      <c r="G68" s="115"/>
      <c r="M68" s="65" t="s">
        <v>80</v>
      </c>
      <c r="N68" s="105">
        <f>$F$3/($F$4*IF(ABS('Chemical Properties'!F62)&gt;0,'Chemical Properties'!F62,'Chemical Properties'!F25))</f>
        <v>1355.0834597875571</v>
      </c>
      <c r="O68" s="105">
        <f>$F$6/($F$7*IF(ABS('Chemical Properties'!G62)&gt;0,'Chemical Properties'!G62,'Chemical Properties'!G25))</f>
        <v>2.0577535243292409</v>
      </c>
      <c r="P68" s="105">
        <f>IF($N$43&lt;3.25,0.00000278*(IF(ABS('Chemical Properties'!F62)&gt;0,'Chemical Properties'!F62,'Chemical Properties'!F25)/$F$8)^(2/3),IF($N$76&lt;14,IF($N$78&lt;0.3,0.000001+0.0144*$N$78^2.2*N68^(-0.5),0.000001+0.00341*$N$78*N68^(-0.5)),IF($N$76&lt;=51.2,(0.000000002605*$N$76+0.0000001277)*$N$43^2*(IF(ABS('Chemical Properties'!F62)&gt;0,'Chemical Properties'!F62,'Chemical Properties'!F25)/$F$8)^(2/3),0.000000261*$N$43^2*(IF(ABS('Chemical Properties'!F62)&gt;0,'Chemical Properties'!F62,'Chemical Properties'!F25)/$F$8)^(2/3))))</f>
        <v>3.9058041835998683E-6</v>
      </c>
      <c r="Q68" s="105">
        <f t="shared" si="2"/>
        <v>5.4698389609916988E-3</v>
      </c>
      <c r="R68" s="105">
        <f>IF(ABS('Chemical Properties'!E62)&gt;0,'Chemical Properties'!E62,'Chemical Properties'!E25)/($F$5*($B$4+273.15))</f>
        <v>123.78404137736914</v>
      </c>
      <c r="S68" s="105">
        <f t="shared" si="3"/>
        <v>3.9057816526641127E-6</v>
      </c>
      <c r="T68" s="105">
        <f t="shared" si="4"/>
        <v>3.9057816526641127E-6</v>
      </c>
      <c r="U68" s="105">
        <f>0.000001*$F$9*'Chemical Properties'!N25</f>
        <v>0.10678590678677739</v>
      </c>
      <c r="V68" s="105">
        <f t="shared" si="5"/>
        <v>3.3226621218706969</v>
      </c>
      <c r="W68" s="105">
        <f>((IF(ABS('Chemical Properties'!J62)&gt;0,'Chemical Properties'!J62,'Chemical Properties'!J25)/$B$6)*(T68*$B$3+($F$10*$B$10*$B$6*$N$79*U68)+($B$6))+((IF(ABS('Chemical Properties'!I62)&gt;0,'Chemical Properties'!I62,'Chemical Properties'!I25)*$B$8*$B$3*$B$7)/$B$6)-B36)</f>
        <v>227.68498480635057</v>
      </c>
      <c r="X68" s="105">
        <f>-IF(ABS('Chemical Properties'!J62)&gt;0,'Chemical Properties'!J62,'Chemical Properties'!J25)*B36</f>
        <v>-10.41967452478112</v>
      </c>
    </row>
    <row r="69" spans="5:30">
      <c r="E69" s="126"/>
      <c r="F69" s="114"/>
      <c r="G69" s="115"/>
      <c r="M69" s="65" t="s">
        <v>59</v>
      </c>
      <c r="N69" s="105" t="e">
        <f>$F$3/($F$4*IF(ABS('Chemical Properties'!F63)&gt;0,'Chemical Properties'!F63,'Chemical Properties'!F26))</f>
        <v>#DIV/0!</v>
      </c>
      <c r="O69" s="105" t="e">
        <f>$F$6/($F$7*IF(ABS('Chemical Properties'!G63)&gt;0,'Chemical Properties'!G63,'Chemical Properties'!G26))</f>
        <v>#DIV/0!</v>
      </c>
      <c r="P69" s="105">
        <f>IF($N$43&lt;3.25,0.00000278*(IF(ABS('Chemical Properties'!F63)&gt;0,'Chemical Properties'!F63,'Chemical Properties'!F26)/$F$8)^(2/3),IF($N$76&lt;14,IF($N$78&lt;0.3,0.000001+0.0144*$N$78^2.2*N69^(-0.5),0.000001+0.00341*$N$78*N69^(-0.5)),IF($N$76&lt;=51.2,(0.000000002605*$N$76+0.0000001277)*$N$43^2*(IF(ABS('Chemical Properties'!F63)&gt;0,'Chemical Properties'!F63,'Chemical Properties'!F26)/$F$8)^(2/3),0.000000261*$N$43^2*(IF(ABS('Chemical Properties'!F63)&gt;0,'Chemical Properties'!F63,'Chemical Properties'!F26)/$F$8)^(2/3))))</f>
        <v>0</v>
      </c>
      <c r="Q69" s="105" t="e">
        <f t="shared" si="2"/>
        <v>#DIV/0!</v>
      </c>
      <c r="R69" s="105">
        <f>IF(ABS('Chemical Properties'!E63)&gt;0,'Chemical Properties'!E63,'Chemical Properties'!E26)/($F$5*($B$4+273.15))</f>
        <v>0</v>
      </c>
      <c r="S69" s="105" t="e">
        <f t="shared" si="3"/>
        <v>#DIV/0!</v>
      </c>
      <c r="T69" s="105" t="e">
        <f t="shared" si="4"/>
        <v>#DIV/0!</v>
      </c>
      <c r="U69" s="105">
        <f>0.000001*$F$9*'Chemical Properties'!N26</f>
        <v>1.5794793046647064E-7</v>
      </c>
      <c r="V69" s="105" t="e">
        <f t="shared" si="5"/>
        <v>#DIV/0!</v>
      </c>
      <c r="W69" s="105" t="e">
        <f>((IF(ABS('Chemical Properties'!J63)&gt;0,'Chemical Properties'!J63,'Chemical Properties'!J26)/$B$6)*(T69*$B$3+($F$10*$B$10*$B$6*$N$79*U69)+($B$6))+((IF(ABS('Chemical Properties'!I63)&gt;0,'Chemical Properties'!I63,'Chemical Properties'!I26)*$B$8*$B$3*$B$7)/$B$6)-B37)</f>
        <v>#DIV/0!</v>
      </c>
      <c r="X69" s="105">
        <f>-IF(ABS('Chemical Properties'!J63)&gt;0,'Chemical Properties'!J63,'Chemical Properties'!J26)*B37</f>
        <v>0</v>
      </c>
    </row>
    <row r="70" spans="5:30">
      <c r="E70" s="126"/>
      <c r="F70" s="114"/>
      <c r="G70" s="115"/>
      <c r="M70" s="81" t="s">
        <v>60</v>
      </c>
      <c r="N70" s="105" t="e">
        <f>$F$3/($F$4*IF(ABS('Chemical Properties'!F64)&gt;0,'Chemical Properties'!F64,'Chemical Properties'!F27))</f>
        <v>#DIV/0!</v>
      </c>
      <c r="O70" s="105" t="e">
        <f>$F$6/($F$7*IF(ABS('Chemical Properties'!G64)&gt;0,'Chemical Properties'!G64,'Chemical Properties'!G27))</f>
        <v>#DIV/0!</v>
      </c>
      <c r="P70" s="105">
        <f>IF($N$43&lt;3.25,0.00000278*(IF(ABS('Chemical Properties'!F64)&gt;0,'Chemical Properties'!F64,'Chemical Properties'!F27)/$F$8)^(2/3),IF($N$76&lt;14,IF($N$78&lt;0.3,0.000001+0.0144*$N$78^2.2*N70^(-0.5),0.000001+0.00341*$N$78*N70^(-0.5)),IF($N$76&lt;=51.2,(0.000000002605*$N$76+0.0000001277)*$N$43^2*(IF(ABS('Chemical Properties'!F64)&gt;0,'Chemical Properties'!F64,'Chemical Properties'!F27)/$F$8)^(2/3),0.000000261*$N$43^2*(IF(ABS('Chemical Properties'!F64)&gt;0,'Chemical Properties'!F64,'Chemical Properties'!F27)/$F$8)^(2/3))))</f>
        <v>0</v>
      </c>
      <c r="Q70" s="105" t="e">
        <f t="shared" si="2"/>
        <v>#DIV/0!</v>
      </c>
      <c r="R70" s="105">
        <f>IF(ABS('Chemical Properties'!E64)&gt;0,'Chemical Properties'!E64,'Chemical Properties'!E27)/($F$5*($B$4+273.15))</f>
        <v>0</v>
      </c>
      <c r="S70" s="105" t="e">
        <f t="shared" si="3"/>
        <v>#DIV/0!</v>
      </c>
      <c r="T70" s="105" t="e">
        <f t="shared" si="4"/>
        <v>#DIV/0!</v>
      </c>
      <c r="U70" s="105">
        <f>0.000001*$F$9*'Chemical Properties'!N27</f>
        <v>1.5794793046647064E-7</v>
      </c>
      <c r="V70" s="105" t="e">
        <f t="shared" si="5"/>
        <v>#DIV/0!</v>
      </c>
      <c r="W70" s="105" t="e">
        <f>((IF(ABS('Chemical Properties'!J64)&gt;0,'Chemical Properties'!J64,'Chemical Properties'!J27)/$B$6)*(T70*$B$3+($F$10*$B$10*$B$6*$N$79*U70)+($B$6))+((IF(ABS('Chemical Properties'!I64)&gt;0,'Chemical Properties'!I64,'Chemical Properties'!I27)*$B$8*$B$3*$B$7)/$B$6)-B38)</f>
        <v>#DIV/0!</v>
      </c>
      <c r="X70" s="105">
        <f>-IF(ABS('Chemical Properties'!J64)&gt;0,'Chemical Properties'!J64,'Chemical Properties'!J27)*B38</f>
        <v>0</v>
      </c>
    </row>
    <row r="71" spans="5:30">
      <c r="E71" s="126"/>
      <c r="F71" s="114"/>
      <c r="G71" s="115"/>
      <c r="M71" s="65" t="s">
        <v>61</v>
      </c>
      <c r="N71" s="105" t="e">
        <f>$F$3/($F$4*IF(ABS('Chemical Properties'!F65)&gt;0,'Chemical Properties'!F65,'Chemical Properties'!F28))</f>
        <v>#DIV/0!</v>
      </c>
      <c r="O71" s="105" t="e">
        <f>$F$6/($F$7*IF(ABS('Chemical Properties'!G65)&gt;0,'Chemical Properties'!G65,'Chemical Properties'!G28))</f>
        <v>#DIV/0!</v>
      </c>
      <c r="P71" s="105">
        <f>IF($N$43&lt;3.25,0.00000278*(IF(ABS('Chemical Properties'!F65)&gt;0,'Chemical Properties'!F65,'Chemical Properties'!F28)/$F$8)^(2/3),IF($N$76&lt;14,IF($N$78&lt;0.3,0.000001+0.0144*$N$78^2.2*N71^(-0.5),0.000001+0.00341*$N$78*N71^(-0.5)),IF($N$76&lt;=51.2,(0.000000002605*$N$76+0.0000001277)*$N$43^2*(IF(ABS('Chemical Properties'!F65)&gt;0,'Chemical Properties'!F65,'Chemical Properties'!F28)/$F$8)^(2/3),0.000000261*$N$43^2*(IF(ABS('Chemical Properties'!F65)&gt;0,'Chemical Properties'!F65,'Chemical Properties'!F28)/$F$8)^(2/3))))</f>
        <v>0</v>
      </c>
      <c r="Q71" s="105" t="e">
        <f t="shared" si="2"/>
        <v>#DIV/0!</v>
      </c>
      <c r="R71" s="105">
        <f>IF(ABS('Chemical Properties'!E65)&gt;0,'Chemical Properties'!E65,'Chemical Properties'!E28)/($F$5*($B$4+273.15))</f>
        <v>0</v>
      </c>
      <c r="S71" s="105" t="e">
        <f t="shared" si="3"/>
        <v>#DIV/0!</v>
      </c>
      <c r="T71" s="105" t="e">
        <f t="shared" si="4"/>
        <v>#DIV/0!</v>
      </c>
      <c r="U71" s="105">
        <f>0.000001*$F$9*'Chemical Properties'!N28</f>
        <v>1.5794793046647064E-7</v>
      </c>
      <c r="V71" s="105" t="e">
        <f t="shared" si="5"/>
        <v>#DIV/0!</v>
      </c>
      <c r="W71" s="105" t="e">
        <f>((IF(ABS('Chemical Properties'!J65)&gt;0,'Chemical Properties'!J65,'Chemical Properties'!J28)/$B$6)*(T71*$B$3+($F$10*$B$10*$B$6*$N$79*U71)+($B$6))+((IF(ABS('Chemical Properties'!I65)&gt;0,'Chemical Properties'!I65,'Chemical Properties'!I28)*$B$8*$B$3*$B$7)/$B$6)-B39)</f>
        <v>#DIV/0!</v>
      </c>
      <c r="X71" s="105">
        <f>-IF(ABS('Chemical Properties'!J65)&gt;0,'Chemical Properties'!J65,'Chemical Properties'!J28)*B39</f>
        <v>0</v>
      </c>
    </row>
    <row r="72" spans="5:30">
      <c r="M72" s="65" t="s">
        <v>256</v>
      </c>
      <c r="N72" s="105">
        <f>$F$3/($F$4*IF(ABS('Chemical Properties'!F66)&gt;0,'Chemical Properties'!F66,'Chemical Properties'!F29))</f>
        <v>866.990291262136</v>
      </c>
      <c r="O72" s="105">
        <f>$F$6/($F$7*IF(ABS('Chemical Properties'!G66)&gt;0,'Chemical Properties'!G66,'Chemical Properties'!G29))</f>
        <v>1.5204973118279572</v>
      </c>
      <c r="P72" s="105">
        <f>IF($N$43&lt;3.25,0.00000278*(IF(ABS('Chemical Properties'!F66)&gt;0,'Chemical Properties'!F66,'Chemical Properties'!F29)/$F$8)^(2/3),IF($N$76&lt;14,IF($N$78&lt;0.3,0.000001+0.0144*$N$78^2.2*N72^(-0.5),0.000001+0.00341*$N$78*N72^(-0.5)),IF($N$76&lt;=51.2,(0.000000002605*$N$76+0.0000001277)*$N$43^2*(IF(ABS('Chemical Properties'!F66)&gt;0,'Chemical Properties'!F66,'Chemical Properties'!F29)/$F$8)^(2/3),0.000000261*$N$43^2*(IF(ABS('Chemical Properties'!F66)&gt;0,'Chemical Properties'!F66,'Chemical Properties'!F29)/$F$8)^(2/3))))</f>
        <v>5.2603140491996964E-6</v>
      </c>
      <c r="Q72" s="105">
        <f t="shared" si="2"/>
        <v>6.6991190803887875E-3</v>
      </c>
      <c r="R72" s="105">
        <f>IF(ABS('Chemical Properties'!E66)&gt;0,'Chemical Properties'!E66,'Chemical Properties'!E29)/($F$5*($B$4+273.15))</f>
        <v>38.810177989604185</v>
      </c>
      <c r="S72" s="105">
        <f t="shared" si="3"/>
        <v>5.26020762234506E-6</v>
      </c>
      <c r="T72" s="105">
        <f t="shared" si="4"/>
        <v>5.26020762234506E-6</v>
      </c>
      <c r="U72" s="105">
        <f>0.000001*$F$9*'Chemical Properties'!N29</f>
        <v>1.226066256020671E-4</v>
      </c>
      <c r="V72" s="105">
        <f t="shared" si="5"/>
        <v>2.2026035731540858</v>
      </c>
      <c r="W72" s="105">
        <f>((IF(ABS('Chemical Properties'!J66)&gt;0,'Chemical Properties'!J66,'Chemical Properties'!J29)/$B$6)*(T72*$B$3+($F$10*$B$10*$B$6*$N$79*U72)+($B$6))+((IF(ABS('Chemical Properties'!I66)&gt;0,'Chemical Properties'!I66,'Chemical Properties'!I29)*$B$8*$B$3*$B$7)/$B$6)-B40)</f>
        <v>216.01433928002479</v>
      </c>
      <c r="X72" s="105">
        <f>-IF(ABS('Chemical Properties'!J66)&gt;0,'Chemical Properties'!J66,'Chemical Properties'!J29)*B40</f>
        <v>-10.41967452478112</v>
      </c>
    </row>
    <row r="74" spans="5:30">
      <c r="M74" s="91"/>
      <c r="N74" s="107"/>
      <c r="O74" s="107"/>
      <c r="P74" s="107"/>
      <c r="Q74" s="107"/>
      <c r="R74" s="107"/>
      <c r="S74" s="107"/>
      <c r="T74" s="107"/>
      <c r="U74" s="107"/>
      <c r="V74" s="107"/>
      <c r="W74" s="107"/>
      <c r="X74" s="107"/>
      <c r="Y74" s="107"/>
      <c r="Z74" s="107"/>
      <c r="AA74" s="107"/>
      <c r="AB74" s="107"/>
      <c r="AC74" s="107"/>
      <c r="AD74" s="107"/>
    </row>
    <row r="75" spans="5:30">
      <c r="M75" s="55"/>
      <c r="N75" s="107"/>
      <c r="O75" s="107"/>
      <c r="P75" s="107"/>
      <c r="Q75" s="107"/>
      <c r="R75" s="107"/>
      <c r="S75" s="107"/>
      <c r="T75" s="107"/>
      <c r="U75" s="107"/>
      <c r="V75" s="107"/>
      <c r="W75" s="107"/>
      <c r="X75" s="106"/>
      <c r="Y75" s="106"/>
      <c r="Z75" s="106"/>
      <c r="AA75" s="106"/>
    </row>
    <row r="76" spans="5:30">
      <c r="M76" s="71" t="s">
        <v>54</v>
      </c>
      <c r="N76" s="108">
        <f>2*($B$3/PI())^0.5/$B$7</f>
        <v>39.894228040143268</v>
      </c>
      <c r="P76" s="107"/>
      <c r="Q76" s="107"/>
      <c r="R76" s="107"/>
      <c r="S76" s="107"/>
      <c r="T76" s="107"/>
      <c r="U76" s="107"/>
      <c r="V76" s="107"/>
      <c r="W76" s="107"/>
      <c r="X76" s="106"/>
      <c r="Y76" s="106"/>
      <c r="Z76" s="106"/>
      <c r="AA76" s="106"/>
    </row>
    <row r="77" spans="5:30">
      <c r="M77" s="71" t="s">
        <v>55</v>
      </c>
      <c r="N77" s="108">
        <f>2*(B3/3.14)^(0.5)</f>
        <v>159.61737689352444</v>
      </c>
      <c r="O77" s="107"/>
      <c r="P77" s="107"/>
      <c r="Q77" s="107"/>
      <c r="R77" s="107"/>
      <c r="S77" s="107"/>
      <c r="T77" s="107"/>
      <c r="U77" s="107"/>
      <c r="V77" s="107"/>
      <c r="W77" s="106"/>
      <c r="X77" s="106"/>
      <c r="Y77" s="106"/>
      <c r="Z77" s="106"/>
      <c r="AA77" s="106"/>
    </row>
    <row r="78" spans="5:30">
      <c r="M78" s="71" t="s">
        <v>87</v>
      </c>
      <c r="N78" s="108">
        <f>0.01*$N$43*(6.1+0.63*$N$43)^0.5</f>
        <v>0.13347348144481735</v>
      </c>
      <c r="O78" s="107"/>
      <c r="P78" s="107"/>
      <c r="Q78" s="107"/>
      <c r="R78" s="107"/>
      <c r="S78" s="107"/>
      <c r="T78" s="107"/>
      <c r="U78" s="107"/>
      <c r="V78" s="107"/>
      <c r="W78" s="106"/>
      <c r="X78" s="106"/>
      <c r="Y78" s="106"/>
      <c r="Z78" s="106"/>
      <c r="AA78" s="106"/>
    </row>
    <row r="79" spans="5:30">
      <c r="M79" s="71" t="s">
        <v>274</v>
      </c>
      <c r="N79" s="108">
        <f>IF((0.02*B8*B3*B7/3600)/(B10*B6)&gt;1,1,(0.02*B8*B3*B7/3600)/(B10*B6))</f>
        <v>1</v>
      </c>
      <c r="O79" s="107"/>
      <c r="P79" s="107"/>
      <c r="Q79" s="107"/>
      <c r="R79" s="107"/>
      <c r="S79" s="107"/>
      <c r="T79" s="107"/>
      <c r="U79" s="107"/>
      <c r="V79" s="107"/>
      <c r="W79" s="106"/>
      <c r="X79" s="106"/>
      <c r="Y79" s="106"/>
      <c r="Z79" s="106"/>
      <c r="AA79" s="106"/>
    </row>
    <row r="80" spans="5:30">
      <c r="N80" s="106"/>
    </row>
    <row r="82" spans="13:23">
      <c r="M82" s="292" t="s">
        <v>159</v>
      </c>
      <c r="N82" s="292"/>
      <c r="O82" s="292"/>
      <c r="P82" s="292"/>
      <c r="Q82" s="292"/>
      <c r="R82" s="292"/>
      <c r="S82" s="292"/>
      <c r="T82" s="292"/>
      <c r="U82" s="147"/>
      <c r="V82" s="147"/>
      <c r="W82" s="147"/>
    </row>
    <row r="83" spans="13:23" ht="38.25">
      <c r="M83" s="128" t="s">
        <v>153</v>
      </c>
      <c r="N83" s="143" t="s">
        <v>155</v>
      </c>
      <c r="O83" s="129" t="s">
        <v>156</v>
      </c>
      <c r="P83" s="129" t="s">
        <v>157</v>
      </c>
      <c r="Q83" s="144" t="s">
        <v>175</v>
      </c>
      <c r="R83" s="144" t="s">
        <v>177</v>
      </c>
      <c r="S83" s="148" t="s">
        <v>158</v>
      </c>
      <c r="T83" s="148" t="s">
        <v>154</v>
      </c>
      <c r="U83" s="149" t="s">
        <v>178</v>
      </c>
      <c r="V83" s="149" t="s">
        <v>176</v>
      </c>
      <c r="W83" s="150" t="s">
        <v>180</v>
      </c>
    </row>
    <row r="84" spans="13:23">
      <c r="M84" s="60" t="s">
        <v>17</v>
      </c>
      <c r="N84" s="72">
        <f t="shared" ref="N84:N105" si="6">$B$6*B15</f>
        <v>8.7599999999999997E-2</v>
      </c>
      <c r="O84" s="127">
        <f>M3*($B$6)</f>
        <v>2.2844512606490439E-2</v>
      </c>
      <c r="P84" s="127">
        <f>K3</f>
        <v>6.9713326723890995E-3</v>
      </c>
      <c r="Q84" s="127">
        <f>M3*U47*B$10*F$10*$N$79</f>
        <v>1.076208774958813E-7</v>
      </c>
      <c r="R84" s="127">
        <f>($B$3*$B$7)*(IF(ABS('Chemical Properties'!I41)&gt;0,'Chemical Properties'!I41,'Chemical Properties'!I4))*$B$8*M3/(IF(ABS('Chemical Properties'!J41)&gt;0,'Chemical Properties'!J41,'Chemical Properties'!J4)+M3)</f>
        <v>5.7784145293530625E-2</v>
      </c>
      <c r="S84" s="130">
        <f t="shared" ref="S84:S105" si="7">O84/N84*100</f>
        <v>26.078210738002781</v>
      </c>
      <c r="T84" s="130">
        <f t="shared" ref="T84:T105" si="8">P84/N84*100</f>
        <v>7.9581423200788812</v>
      </c>
      <c r="U84" s="130">
        <f t="shared" ref="U84:U105" si="9">R84/N84*100</f>
        <v>65.963636179829493</v>
      </c>
      <c r="V84" s="142">
        <f t="shared" ref="V84:V105" si="10">Q84/N84*100</f>
        <v>1.2285488298616589E-4</v>
      </c>
      <c r="W84" s="130">
        <f>(O84+P84+Q84+R84)/N84*100</f>
        <v>100.00011209279414</v>
      </c>
    </row>
    <row r="85" spans="13:23">
      <c r="M85" s="62" t="s">
        <v>6</v>
      </c>
      <c r="N85" s="72">
        <f t="shared" si="6"/>
        <v>8.7599999999999997E-2</v>
      </c>
      <c r="O85" s="127">
        <f t="shared" ref="O85:O109" si="11">M4*($B$6)</f>
        <v>4.4131623735189918E-3</v>
      </c>
      <c r="P85" s="127">
        <f t="shared" ref="P85:P105" si="12">K4</f>
        <v>5.1087489282792943E-3</v>
      </c>
      <c r="Q85" s="127">
        <f t="shared" ref="Q85:Q109" si="13">M4*U48*B$10*F$10*$N$79</f>
        <v>1.4383498712746143E-5</v>
      </c>
      <c r="R85" s="127">
        <f>($B$3*$B$7)*(IF(ABS('Chemical Properties'!I42)&gt;0,'Chemical Properties'!I42,'Chemical Properties'!I5))*$B$8*M4/(IF(ABS('Chemical Properties'!J42)&gt;0,'Chemical Properties'!J42,'Chemical Properties'!J5)+M4)</f>
        <v>7.8076828703723511E-2</v>
      </c>
      <c r="S85" s="130">
        <f t="shared" si="7"/>
        <v>5.0378565907751049</v>
      </c>
      <c r="T85" s="130">
        <f t="shared" si="8"/>
        <v>5.8319051692686008</v>
      </c>
      <c r="U85" s="130">
        <f t="shared" si="9"/>
        <v>89.128799890095337</v>
      </c>
      <c r="V85" s="142">
        <f t="shared" si="10"/>
        <v>1.6419519078477333E-2</v>
      </c>
      <c r="W85" s="130">
        <f t="shared" ref="W85:W105" si="14">(O85+P85+Q85+R85)/N85*100</f>
        <v>100.01498116921752</v>
      </c>
    </row>
    <row r="86" spans="13:23">
      <c r="M86" s="62" t="s">
        <v>13</v>
      </c>
      <c r="N86" s="72">
        <f t="shared" si="6"/>
        <v>8.7599999999999997E-2</v>
      </c>
      <c r="O86" s="127">
        <f t="shared" si="11"/>
        <v>6.5070441148614242E-3</v>
      </c>
      <c r="P86" s="127">
        <f t="shared" si="12"/>
        <v>7.6577446479254687E-3</v>
      </c>
      <c r="Q86" s="127">
        <f t="shared" si="13"/>
        <v>1.5721659393506422E-5</v>
      </c>
      <c r="R86" s="127">
        <f>($B$3*$B$7)*(IF(ABS('Chemical Properties'!I43)&gt;0,'Chemical Properties'!I43,'Chemical Properties'!I6))*$B$8*M5/(IF(ABS('Chemical Properties'!J43)&gt;0,'Chemical Properties'!J43,'Chemical Properties'!J6)+M5)</f>
        <v>7.3433834019853594E-2</v>
      </c>
      <c r="S86" s="130">
        <f t="shared" si="7"/>
        <v>7.4281325512116716</v>
      </c>
      <c r="T86" s="130">
        <f t="shared" si="8"/>
        <v>8.7417176346181158</v>
      </c>
      <c r="U86" s="130">
        <f t="shared" si="9"/>
        <v>83.828577648234699</v>
      </c>
      <c r="V86" s="142">
        <f t="shared" si="10"/>
        <v>1.7947099764276737E-2</v>
      </c>
      <c r="W86" s="130">
        <f t="shared" si="14"/>
        <v>100.01637493382876</v>
      </c>
    </row>
    <row r="87" spans="13:23">
      <c r="M87" s="60" t="s">
        <v>69</v>
      </c>
      <c r="N87" s="72">
        <f t="shared" si="6"/>
        <v>8.7599999999999997E-2</v>
      </c>
      <c r="O87" s="127">
        <f t="shared" si="11"/>
        <v>2.0276453084189169E-2</v>
      </c>
      <c r="P87" s="127">
        <f t="shared" si="12"/>
        <v>1.7050154406360228E-2</v>
      </c>
      <c r="Q87" s="127">
        <f t="shared" si="13"/>
        <v>9.3348344263013238E-7</v>
      </c>
      <c r="R87" s="127">
        <f>($B$3*$B$7)*(IF(ABS('Chemical Properties'!I44)&gt;0,'Chemical Properties'!I44,'Chemical Properties'!I7))*$B$8*M6/(IF(ABS('Chemical Properties'!J44)&gt;0,'Chemical Properties'!J44,'Chemical Properties'!J7)+M6)</f>
        <v>5.0273310736301383E-2</v>
      </c>
      <c r="S87" s="130">
        <f t="shared" si="7"/>
        <v>23.146635940855216</v>
      </c>
      <c r="T87" s="130">
        <f t="shared" si="8"/>
        <v>19.463646582603001</v>
      </c>
      <c r="U87" s="130">
        <f t="shared" si="9"/>
        <v>57.389624128197923</v>
      </c>
      <c r="V87" s="142">
        <f t="shared" si="10"/>
        <v>1.0656203682992379E-3</v>
      </c>
      <c r="W87" s="130">
        <f t="shared" si="14"/>
        <v>100.00097227202444</v>
      </c>
    </row>
    <row r="88" spans="13:23">
      <c r="M88" s="62" t="s">
        <v>9</v>
      </c>
      <c r="N88" s="72">
        <f t="shared" si="6"/>
        <v>8.7599999999999997E-2</v>
      </c>
      <c r="O88" s="127">
        <f t="shared" si="11"/>
        <v>6.0008323659188761E-3</v>
      </c>
      <c r="P88" s="127">
        <f t="shared" si="12"/>
        <v>5.5785850780482437E-3</v>
      </c>
      <c r="Q88" s="127">
        <f t="shared" si="13"/>
        <v>3.3214378232411372E-4</v>
      </c>
      <c r="R88" s="127">
        <f>($B$3*$B$7)*(IF(ABS('Chemical Properties'!I45)&gt;0,'Chemical Properties'!I45,'Chemical Properties'!I8))*$B$8*M7/(IF(ABS('Chemical Properties'!J45)&gt;0,'Chemical Properties'!J45,'Chemical Properties'!J8)+M7)</f>
        <v>7.59914867607073E-2</v>
      </c>
      <c r="S88" s="130">
        <f t="shared" si="7"/>
        <v>6.8502652578982612</v>
      </c>
      <c r="T88" s="130">
        <f t="shared" si="8"/>
        <v>6.3682478059911469</v>
      </c>
      <c r="U88" s="130">
        <f t="shared" si="9"/>
        <v>86.748272557885059</v>
      </c>
      <c r="V88" s="142">
        <f t="shared" si="10"/>
        <v>0.37915956886314356</v>
      </c>
      <c r="W88" s="130">
        <f t="shared" si="14"/>
        <v>100.34594519063759</v>
      </c>
    </row>
    <row r="89" spans="13:23">
      <c r="M89" s="63" t="s">
        <v>7</v>
      </c>
      <c r="N89" s="72">
        <f t="shared" si="6"/>
        <v>8.7599999999999997E-2</v>
      </c>
      <c r="O89" s="127">
        <f t="shared" si="11"/>
        <v>2.2816909313015049E-3</v>
      </c>
      <c r="P89" s="127">
        <f t="shared" si="12"/>
        <v>2.1359174321240754E-3</v>
      </c>
      <c r="Q89" s="127">
        <f t="shared" si="13"/>
        <v>2.0959042984732457E-4</v>
      </c>
      <c r="R89" s="127">
        <f>($B$3*$B$7)*(IF(ABS('Chemical Properties'!I46)&gt;0,'Chemical Properties'!I46,'Chemical Properties'!I9))*$B$8*M8/(IF(ABS('Chemical Properties'!J46)&gt;0,'Chemical Properties'!J46,'Chemical Properties'!J9)+M8)</f>
        <v>8.3164031514937495E-2</v>
      </c>
      <c r="S89" s="130">
        <f t="shared" si="7"/>
        <v>2.6046700129012614</v>
      </c>
      <c r="T89" s="130">
        <f t="shared" si="8"/>
        <v>2.438261908817438</v>
      </c>
      <c r="U89" s="130">
        <f t="shared" si="9"/>
        <v>94.936109035316775</v>
      </c>
      <c r="V89" s="142">
        <f t="shared" si="10"/>
        <v>0.23925848156087279</v>
      </c>
      <c r="W89" s="130">
        <f t="shared" si="14"/>
        <v>100.21829943859635</v>
      </c>
    </row>
    <row r="90" spans="13:23">
      <c r="M90" s="62" t="s">
        <v>8</v>
      </c>
      <c r="N90" s="72">
        <f t="shared" si="6"/>
        <v>8.7599999999999997E-2</v>
      </c>
      <c r="O90" s="127">
        <f t="shared" si="11"/>
        <v>3.0902241777372432E-3</v>
      </c>
      <c r="P90" s="127">
        <f t="shared" si="12"/>
        <v>3.0759005854081537E-3</v>
      </c>
      <c r="Q90" s="127">
        <f t="shared" si="13"/>
        <v>1.0306343623677206E-4</v>
      </c>
      <c r="R90" s="127">
        <f>($B$3*$B$7)*(IF(ABS('Chemical Properties'!I47)&gt;0,'Chemical Properties'!I47,'Chemical Properties'!I10))*$B$8*M9/(IF(ABS('Chemical Properties'!J47)&gt;0,'Chemical Properties'!J47,'Chemical Properties'!J10)+M9)</f>
        <v>8.1424846879848162E-2</v>
      </c>
      <c r="S90" s="130">
        <f t="shared" si="7"/>
        <v>3.5276531709329264</v>
      </c>
      <c r="T90" s="130">
        <f t="shared" si="8"/>
        <v>3.5113020381371616</v>
      </c>
      <c r="U90" s="130">
        <f t="shared" si="9"/>
        <v>92.950738447315246</v>
      </c>
      <c r="V90" s="142">
        <f t="shared" si="10"/>
        <v>0.11765232447120098</v>
      </c>
      <c r="W90" s="130">
        <f t="shared" si="14"/>
        <v>100.10734598085655</v>
      </c>
    </row>
    <row r="91" spans="13:23">
      <c r="M91" s="62" t="s">
        <v>11</v>
      </c>
      <c r="N91" s="72">
        <f t="shared" si="6"/>
        <v>8.7599999999999997E-2</v>
      </c>
      <c r="O91" s="127">
        <f t="shared" si="11"/>
        <v>2.5742263470081756E-2</v>
      </c>
      <c r="P91" s="127">
        <f t="shared" si="12"/>
        <v>2.5931175337146575E-2</v>
      </c>
      <c r="Q91" s="127">
        <f t="shared" si="13"/>
        <v>5.4170315252761612E-4</v>
      </c>
      <c r="R91" s="127">
        <f>($B$3*$B$7)*(IF(ABS('Chemical Properties'!I48)&gt;0,'Chemical Properties'!I48,'Chemical Properties'!I11))*$B$8*M10/(IF(ABS('Chemical Properties'!J48)&gt;0,'Chemical Properties'!J48,'Chemical Properties'!J11)+M10)</f>
        <v>3.5879107996613591E-2</v>
      </c>
      <c r="S91" s="130">
        <f t="shared" si="7"/>
        <v>29.386145513791963</v>
      </c>
      <c r="T91" s="130">
        <f t="shared" si="8"/>
        <v>29.601798330076001</v>
      </c>
      <c r="U91" s="130">
        <f t="shared" si="9"/>
        <v>40.957885840883094</v>
      </c>
      <c r="V91" s="142">
        <f t="shared" si="10"/>
        <v>0.61838259420960739</v>
      </c>
      <c r="W91" s="130">
        <f t="shared" si="14"/>
        <v>100.56421227896064</v>
      </c>
    </row>
    <row r="92" spans="13:23">
      <c r="M92" s="63" t="s">
        <v>70</v>
      </c>
      <c r="N92" s="72">
        <f t="shared" si="6"/>
        <v>8.7599999999999997E-2</v>
      </c>
      <c r="O92" s="127">
        <f t="shared" si="11"/>
        <v>7.9592112037479464E-3</v>
      </c>
      <c r="P92" s="127">
        <f t="shared" si="12"/>
        <v>9.8643566375463745E-3</v>
      </c>
      <c r="Q92" s="127">
        <f t="shared" si="13"/>
        <v>1.8792504428697375E-5</v>
      </c>
      <c r="R92" s="127">
        <f>($B$3*$B$7)*(IF(ABS('Chemical Properties'!I49)&gt;0,'Chemical Properties'!I49,'Chemical Properties'!I12))*$B$8*M11/(IF(ABS('Chemical Properties'!J49)&gt;0,'Chemical Properties'!J49,'Chemical Properties'!J12)+M11)</f>
        <v>6.977478593531794E-2</v>
      </c>
      <c r="S92" s="130">
        <f t="shared" si="7"/>
        <v>9.0858575385250528</v>
      </c>
      <c r="T92" s="130">
        <f t="shared" si="8"/>
        <v>11.26068109308947</v>
      </c>
      <c r="U92" s="130">
        <f t="shared" si="9"/>
        <v>79.651582117942851</v>
      </c>
      <c r="V92" s="142">
        <f t="shared" si="10"/>
        <v>2.1452630626366868E-2</v>
      </c>
      <c r="W92" s="130">
        <f t="shared" si="14"/>
        <v>100.01957338018374</v>
      </c>
    </row>
    <row r="93" spans="13:23">
      <c r="M93" s="63" t="s">
        <v>16</v>
      </c>
      <c r="N93" s="72">
        <f t="shared" si="6"/>
        <v>8.7599999999999997E-2</v>
      </c>
      <c r="O93" s="127">
        <f t="shared" si="11"/>
        <v>4.9567207862320967E-2</v>
      </c>
      <c r="P93" s="127">
        <f t="shared" si="12"/>
        <v>7.4395700769322709E-6</v>
      </c>
      <c r="Q93" s="127">
        <f t="shared" si="13"/>
        <v>1.0922173918484788E-8</v>
      </c>
      <c r="R93" s="127">
        <f>($B$3*$B$7)*(IF(ABS('Chemical Properties'!I50)&gt;0,'Chemical Properties'!I50,'Chemical Properties'!I13))*$B$8*M12/(IF(ABS('Chemical Properties'!J50)&gt;0,'Chemical Properties'!J50,'Chemical Properties'!J13)+M12)</f>
        <v>3.8025351610820546E-2</v>
      </c>
      <c r="S93" s="130">
        <f t="shared" si="7"/>
        <v>56.583570619087865</v>
      </c>
      <c r="T93" s="130">
        <f t="shared" si="8"/>
        <v>8.4926599051738261E-3</v>
      </c>
      <c r="U93" s="130">
        <f t="shared" si="9"/>
        <v>43.407935628790575</v>
      </c>
      <c r="V93" s="142">
        <f t="shared" si="10"/>
        <v>1.2468235066763458E-5</v>
      </c>
      <c r="W93" s="130">
        <f t="shared" si="14"/>
        <v>100.00001137601868</v>
      </c>
    </row>
    <row r="94" spans="13:23">
      <c r="M94" s="60" t="s">
        <v>71</v>
      </c>
      <c r="N94" s="72">
        <f t="shared" si="6"/>
        <v>8.7599999999999997E-2</v>
      </c>
      <c r="O94" s="127">
        <f t="shared" si="11"/>
        <v>1.2246170194936448E-2</v>
      </c>
      <c r="P94" s="127">
        <f t="shared" si="12"/>
        <v>1.072301479850901E-2</v>
      </c>
      <c r="Q94" s="127">
        <f t="shared" si="13"/>
        <v>4.5826313621208682E-6</v>
      </c>
      <c r="R94" s="127">
        <f>($B$3*$B$7)*(IF(ABS('Chemical Properties'!I51)&gt;0,'Chemical Properties'!I51,'Chemical Properties'!I14))*$B$8*M13/(IF(ABS('Chemical Properties'!J51)&gt;0,'Chemical Properties'!J51,'Chemical Properties'!J14)+M13)</f>
        <v>6.4630413568047301E-2</v>
      </c>
      <c r="S94" s="130">
        <f t="shared" si="7"/>
        <v>13.979646341251653</v>
      </c>
      <c r="T94" s="130">
        <f t="shared" si="8"/>
        <v>12.240884473183803</v>
      </c>
      <c r="U94" s="130">
        <f t="shared" si="9"/>
        <v>73.779010922428427</v>
      </c>
      <c r="V94" s="142">
        <f t="shared" si="10"/>
        <v>5.2313143403206258E-3</v>
      </c>
      <c r="W94" s="130">
        <f t="shared" si="14"/>
        <v>100.00477305120418</v>
      </c>
    </row>
    <row r="95" spans="13:23">
      <c r="M95" s="62" t="s">
        <v>12</v>
      </c>
      <c r="N95" s="72">
        <f t="shared" si="6"/>
        <v>8.7599999999999997E-2</v>
      </c>
      <c r="O95" s="127">
        <f t="shared" si="11"/>
        <v>2.6975480891272313E-3</v>
      </c>
      <c r="P95" s="127">
        <f t="shared" si="12"/>
        <v>2.864609664019501E-3</v>
      </c>
      <c r="Q95" s="127">
        <f t="shared" si="13"/>
        <v>3.6650831136927324E-5</v>
      </c>
      <c r="R95" s="127">
        <f>($B$3*$B$7)*(IF(ABS('Chemical Properties'!I52)&gt;0,'Chemical Properties'!I52,'Chemical Properties'!I15))*$B$8*M14/(IF(ABS('Chemical Properties'!J52)&gt;0,'Chemical Properties'!J52,'Chemical Properties'!J15)+M14)</f>
        <v>8.2034631634051502E-2</v>
      </c>
      <c r="S95" s="130">
        <f t="shared" si="7"/>
        <v>3.0793927958073417</v>
      </c>
      <c r="T95" s="130">
        <f t="shared" si="8"/>
        <v>3.2701023561866451</v>
      </c>
      <c r="U95" s="130">
        <f t="shared" si="9"/>
        <v>93.646839764898985</v>
      </c>
      <c r="V95" s="142">
        <f t="shared" si="10"/>
        <v>4.1838848329825713E-2</v>
      </c>
      <c r="W95" s="130">
        <f t="shared" si="14"/>
        <v>100.03817376522279</v>
      </c>
    </row>
    <row r="96" spans="13:23">
      <c r="M96" s="62" t="s">
        <v>10</v>
      </c>
      <c r="N96" s="72">
        <f t="shared" si="6"/>
        <v>8.7599999999999997E-2</v>
      </c>
      <c r="O96" s="127">
        <f t="shared" si="11"/>
        <v>5.2841369924461743E-4</v>
      </c>
      <c r="P96" s="127">
        <f t="shared" si="12"/>
        <v>1.1314379030757337E-5</v>
      </c>
      <c r="Q96" s="127">
        <f t="shared" si="13"/>
        <v>3.855570958421395E-7</v>
      </c>
      <c r="R96" s="127">
        <f>($B$3*$B$7)*(IF(ABS('Chemical Properties'!I53)&gt;0,'Chemical Properties'!I53,'Chemical Properties'!I16))*$B$8*M15/(IF(ABS('Chemical Properties'!J53)&gt;0,'Chemical Properties'!J53,'Chemical Properties'!J16)+M15)</f>
        <v>8.7060238146978497E-2</v>
      </c>
      <c r="S96" s="130">
        <f t="shared" si="7"/>
        <v>0.60321198543906107</v>
      </c>
      <c r="T96" s="130">
        <f t="shared" si="8"/>
        <v>1.2915957797668192E-2</v>
      </c>
      <c r="U96" s="130">
        <f t="shared" si="9"/>
        <v>99.38383350111701</v>
      </c>
      <c r="V96" s="142">
        <f t="shared" si="10"/>
        <v>4.4013367105267062E-4</v>
      </c>
      <c r="W96" s="130">
        <f t="shared" si="14"/>
        <v>100.00040157802479</v>
      </c>
    </row>
    <row r="97" spans="13:23">
      <c r="M97" s="63" t="s">
        <v>72</v>
      </c>
      <c r="N97" s="72">
        <f t="shared" si="6"/>
        <v>8.7599999999999997E-2</v>
      </c>
      <c r="O97" s="127">
        <f t="shared" si="11"/>
        <v>4.2618357864282379E-3</v>
      </c>
      <c r="P97" s="127">
        <f t="shared" si="12"/>
        <v>4.2411929083613527E-3</v>
      </c>
      <c r="Q97" s="127">
        <f t="shared" si="13"/>
        <v>1.0297014964483337E-3</v>
      </c>
      <c r="R97" s="127">
        <f>($B$3*$B$7)*(IF(ABS('Chemical Properties'!I54)&gt;0,'Chemical Properties'!I54,'Chemical Properties'!I17))*$B$8*M16/(IF(ABS('Chemical Properties'!J54)&gt;0,'Chemical Properties'!J54,'Chemical Properties'!J17)+M16)</f>
        <v>7.9006769454118012E-2</v>
      </c>
      <c r="S97" s="130">
        <f t="shared" si="7"/>
        <v>4.8651093452377152</v>
      </c>
      <c r="T97" s="130">
        <f t="shared" si="8"/>
        <v>4.8415444159376175</v>
      </c>
      <c r="U97" s="130">
        <f t="shared" si="9"/>
        <v>90.190376089175814</v>
      </c>
      <c r="V97" s="142">
        <f t="shared" si="10"/>
        <v>1.1754583292789198</v>
      </c>
      <c r="W97" s="130">
        <f t="shared" si="14"/>
        <v>101.07248817963006</v>
      </c>
    </row>
    <row r="98" spans="13:23">
      <c r="M98" s="63" t="s">
        <v>73</v>
      </c>
      <c r="N98" s="72">
        <f t="shared" si="6"/>
        <v>8.7599999999999997E-2</v>
      </c>
      <c r="O98" s="127">
        <f t="shared" si="11"/>
        <v>4.0562029088639454E-4</v>
      </c>
      <c r="P98" s="127">
        <f t="shared" si="12"/>
        <v>3.0175333391274967E-5</v>
      </c>
      <c r="Q98" s="127">
        <f t="shared" si="13"/>
        <v>9.8001856816160429E-9</v>
      </c>
      <c r="R98" s="127">
        <f>($B$3*$B$7)*(IF(ABS('Chemical Properties'!I55)&gt;0,'Chemical Properties'!I55,'Chemical Properties'!I18))*$B$8*M17/(IF(ABS('Chemical Properties'!J55)&gt;0,'Chemical Properties'!J55,'Chemical Properties'!J18)+M17)</f>
        <v>8.7164203517261882E-2</v>
      </c>
      <c r="S98" s="130">
        <f t="shared" si="7"/>
        <v>0.4630368617424595</v>
      </c>
      <c r="T98" s="130">
        <f t="shared" si="8"/>
        <v>3.4446727615610691E-2</v>
      </c>
      <c r="U98" s="130">
        <f t="shared" si="9"/>
        <v>99.502515430664246</v>
      </c>
      <c r="V98" s="142">
        <f t="shared" si="10"/>
        <v>1.1187426577187265E-5</v>
      </c>
      <c r="W98" s="130">
        <f t="shared" si="14"/>
        <v>100.00001020744891</v>
      </c>
    </row>
    <row r="99" spans="13:23">
      <c r="M99" s="64" t="s">
        <v>74</v>
      </c>
      <c r="N99" s="72">
        <f t="shared" si="6"/>
        <v>8.7599999999999997E-2</v>
      </c>
      <c r="O99" s="127">
        <f t="shared" si="11"/>
        <v>3.5159810432114761E-3</v>
      </c>
      <c r="P99" s="127">
        <f t="shared" si="12"/>
        <v>3.94136455264372E-3</v>
      </c>
      <c r="Q99" s="127">
        <f t="shared" si="13"/>
        <v>1.2564961347187492E-4</v>
      </c>
      <c r="R99" s="127">
        <f>($B$3*$B$7)*(IF(ABS('Chemical Properties'!I56)&gt;0,'Chemical Properties'!I56,'Chemical Properties'!I19))*$B$8*M18/(IF(ABS('Chemical Properties'!J56)&gt;0,'Chemical Properties'!J56,'Chemical Properties'!J19)+M18)</f>
        <v>8.0131647497996908E-2</v>
      </c>
      <c r="S99" s="130">
        <f t="shared" si="7"/>
        <v>4.0136769899674389</v>
      </c>
      <c r="T99" s="130">
        <f t="shared" si="8"/>
        <v>4.4992746034745661</v>
      </c>
      <c r="U99" s="130">
        <f t="shared" si="9"/>
        <v>91.474483445201955</v>
      </c>
      <c r="V99" s="142">
        <f t="shared" si="10"/>
        <v>0.14343563181720881</v>
      </c>
      <c r="W99" s="130">
        <f t="shared" si="14"/>
        <v>100.13087067046116</v>
      </c>
    </row>
    <row r="100" spans="13:23">
      <c r="M100" s="63" t="s">
        <v>75</v>
      </c>
      <c r="N100" s="72">
        <f t="shared" si="6"/>
        <v>8.7599999999999997E-2</v>
      </c>
      <c r="O100" s="127">
        <f t="shared" si="11"/>
        <v>7.8331724636291917E-3</v>
      </c>
      <c r="P100" s="127">
        <f t="shared" si="12"/>
        <v>9.2126157130010596E-3</v>
      </c>
      <c r="Q100" s="127">
        <f t="shared" si="13"/>
        <v>1.5084201339969839E-5</v>
      </c>
      <c r="R100" s="127">
        <f>($B$3*$B$7)*(IF(ABS('Chemical Properties'!I57)&gt;0,'Chemical Properties'!I57,'Chemical Properties'!I20))*$B$8*M19/(IF(ABS('Chemical Properties'!J57)&gt;0,'Chemical Properties'!J57,'Chemical Properties'!J20)+M19)</f>
        <v>7.0552890447341379E-2</v>
      </c>
      <c r="S100" s="130">
        <f t="shared" si="7"/>
        <v>8.9419776982068413</v>
      </c>
      <c r="T100" s="130">
        <f t="shared" si="8"/>
        <v>10.516684603882489</v>
      </c>
      <c r="U100" s="130">
        <f t="shared" si="9"/>
        <v>80.539829277786964</v>
      </c>
      <c r="V100" s="142">
        <f t="shared" si="10"/>
        <v>1.7219407922339999E-2</v>
      </c>
      <c r="W100" s="130">
        <f t="shared" si="14"/>
        <v>100.01571098779864</v>
      </c>
    </row>
    <row r="101" spans="13:23">
      <c r="M101" s="64" t="s">
        <v>78</v>
      </c>
      <c r="N101" s="72">
        <f t="shared" si="6"/>
        <v>8.7599999999999997E-2</v>
      </c>
      <c r="O101" s="127">
        <f t="shared" si="11"/>
        <v>4.4615022630548496E-3</v>
      </c>
      <c r="P101" s="127">
        <f t="shared" si="12"/>
        <v>4.1553088247623989E-3</v>
      </c>
      <c r="Q101" s="127">
        <f t="shared" si="13"/>
        <v>6.2029138534092608E-4</v>
      </c>
      <c r="R101" s="127">
        <f>($B$3*$B$7)*(IF(ABS('Chemical Properties'!I58)&gt;0,'Chemical Properties'!I58,'Chemical Properties'!I21))*$B$8*M20/(IF(ABS('Chemical Properties'!J58)&gt;0,'Chemical Properties'!J58,'Chemical Properties'!J21)+M20)</f>
        <v>7.8928851386829313E-2</v>
      </c>
      <c r="S101" s="130">
        <f t="shared" si="7"/>
        <v>5.0930391130763129</v>
      </c>
      <c r="T101" s="130">
        <f t="shared" si="8"/>
        <v>4.7435032246146109</v>
      </c>
      <c r="U101" s="130">
        <f t="shared" si="9"/>
        <v>90.101428523777756</v>
      </c>
      <c r="V101" s="142">
        <f t="shared" si="10"/>
        <v>0.70809518874534949</v>
      </c>
      <c r="W101" s="130">
        <f t="shared" si="14"/>
        <v>100.64606605021402</v>
      </c>
    </row>
    <row r="102" spans="13:23">
      <c r="M102" s="65" t="s">
        <v>14</v>
      </c>
      <c r="N102" s="72">
        <f t="shared" si="6"/>
        <v>8.7599999999999997E-2</v>
      </c>
      <c r="O102" s="127">
        <f t="shared" si="11"/>
        <v>6.3954089915899985E-3</v>
      </c>
      <c r="P102" s="127">
        <f t="shared" si="12"/>
        <v>8.9674128213711492E-3</v>
      </c>
      <c r="Q102" s="127">
        <f t="shared" si="13"/>
        <v>9.7697388566618416E-7</v>
      </c>
      <c r="R102" s="127">
        <f>($B$3*$B$7)*(IF(ABS('Chemical Properties'!I59)&gt;0,'Chemical Properties'!I59,'Chemical Properties'!I22))*$B$8*M21/(IF(ABS('Chemical Properties'!J59)&gt;0,'Chemical Properties'!J59,'Chemical Properties'!J22)+M21)</f>
        <v>7.2237092604127195E-2</v>
      </c>
      <c r="S102" s="130">
        <f t="shared" si="7"/>
        <v>7.3006951958789941</v>
      </c>
      <c r="T102" s="130">
        <f t="shared" si="8"/>
        <v>10.236772627136014</v>
      </c>
      <c r="U102" s="130">
        <f t="shared" si="9"/>
        <v>82.462434479597263</v>
      </c>
      <c r="V102" s="142">
        <f t="shared" si="10"/>
        <v>1.1152669927696167E-3</v>
      </c>
      <c r="W102" s="130">
        <f t="shared" si="14"/>
        <v>100.00101756960504</v>
      </c>
    </row>
    <row r="103" spans="13:23">
      <c r="M103" s="65" t="s">
        <v>79</v>
      </c>
      <c r="N103" s="72">
        <f t="shared" si="6"/>
        <v>8.7599999999999997E-2</v>
      </c>
      <c r="O103" s="127">
        <f t="shared" si="11"/>
        <v>6.174107501420615E-3</v>
      </c>
      <c r="P103" s="127">
        <f t="shared" si="12"/>
        <v>7.1294120886884263E-3</v>
      </c>
      <c r="Q103" s="127">
        <f t="shared" si="13"/>
        <v>4.5049380079809668E-6</v>
      </c>
      <c r="R103" s="127">
        <f>($B$3*$B$7)*(IF(ABS('Chemical Properties'!I60)&gt;0,'Chemical Properties'!I60,'Chemical Properties'!I23))*$B$8*M22/(IF(ABS('Chemical Properties'!J60)&gt;0,'Chemical Properties'!J60,'Chemical Properties'!J23)+M22)</f>
        <v>7.4296085777321288E-2</v>
      </c>
      <c r="S103" s="130">
        <f t="shared" si="7"/>
        <v>7.0480679239961361</v>
      </c>
      <c r="T103" s="130">
        <f t="shared" si="8"/>
        <v>8.1385982747584773</v>
      </c>
      <c r="U103" s="130">
        <f t="shared" si="9"/>
        <v>84.812883307444395</v>
      </c>
      <c r="V103" s="142">
        <f t="shared" si="10"/>
        <v>5.1426232967819252E-3</v>
      </c>
      <c r="W103" s="130">
        <f t="shared" si="14"/>
        <v>100.00469212949579</v>
      </c>
    </row>
    <row r="104" spans="13:23">
      <c r="M104" s="65" t="s">
        <v>15</v>
      </c>
      <c r="N104" s="72">
        <f t="shared" si="6"/>
        <v>8.7599999999999997E-2</v>
      </c>
      <c r="O104" s="127">
        <f t="shared" si="11"/>
        <v>3.6697870241207173E-2</v>
      </c>
      <c r="P104" s="127">
        <f t="shared" si="12"/>
        <v>7.0522481413349973E-8</v>
      </c>
      <c r="Q104" s="127">
        <f t="shared" si="13"/>
        <v>3.2942419458983076E-8</v>
      </c>
      <c r="R104" s="127">
        <f>($B$3*$B$7)*(IF(ABS('Chemical Properties'!I61)&gt;0,'Chemical Properties'!I61,'Chemical Properties'!I24))*$B$8*M23/(IF(ABS('Chemical Properties'!J61)&gt;0,'Chemical Properties'!J61,'Chemical Properties'!J24)+M23)</f>
        <v>5.090205635055655E-2</v>
      </c>
      <c r="S104" s="130">
        <f t="shared" si="7"/>
        <v>41.892545937451118</v>
      </c>
      <c r="T104" s="130">
        <f t="shared" si="8"/>
        <v>8.0505115768664351E-5</v>
      </c>
      <c r="U104" s="130">
        <f t="shared" si="9"/>
        <v>58.107370263192415</v>
      </c>
      <c r="V104" s="142">
        <f t="shared" si="10"/>
        <v>3.7605501665505798E-5</v>
      </c>
      <c r="W104" s="130">
        <f t="shared" si="14"/>
        <v>100.00003431126095</v>
      </c>
    </row>
    <row r="105" spans="13:23">
      <c r="M105" s="65" t="s">
        <v>80</v>
      </c>
      <c r="N105" s="72">
        <f t="shared" si="6"/>
        <v>8.7599999999999997E-2</v>
      </c>
      <c r="O105" s="127">
        <f t="shared" si="11"/>
        <v>4.0062137749277233E-3</v>
      </c>
      <c r="P105" s="127">
        <f t="shared" si="12"/>
        <v>3.5724648992609444E-3</v>
      </c>
      <c r="Q105" s="127">
        <f t="shared" si="13"/>
        <v>6.5440822921007932E-2</v>
      </c>
      <c r="R105" s="127">
        <f>($B$3*$B$7)*(IF(ABS('Chemical Properties'!I62)&gt;0,'Chemical Properties'!I62,'Chemical Properties'!I25))*$B$8*M24/(IF(ABS('Chemical Properties'!J62)&gt;0,'Chemical Properties'!J62,'Chemical Properties'!J25)+M24)</f>
        <v>7.4288705237930547E-2</v>
      </c>
      <c r="S105" s="130">
        <f t="shared" si="7"/>
        <v>4.5733033960362146</v>
      </c>
      <c r="T105" s="130">
        <f t="shared" si="8"/>
        <v>4.0781562776951423</v>
      </c>
      <c r="U105" s="130">
        <f t="shared" si="9"/>
        <v>84.804458034167297</v>
      </c>
      <c r="V105" s="142">
        <f t="shared" si="10"/>
        <v>74.704135754575262</v>
      </c>
      <c r="W105" s="130">
        <f t="shared" si="14"/>
        <v>168.16005346247391</v>
      </c>
    </row>
    <row r="106" spans="13:23">
      <c r="M106" s="65" t="s">
        <v>59</v>
      </c>
      <c r="N106" s="72">
        <f>$B$6*B37</f>
        <v>8.7599999999999997E-2</v>
      </c>
      <c r="O106" s="127" t="e">
        <f t="shared" si="11"/>
        <v>#DIV/0!</v>
      </c>
      <c r="P106" s="127" t="e">
        <f>K25</f>
        <v>#DIV/0!</v>
      </c>
      <c r="Q106" s="127" t="e">
        <f t="shared" si="13"/>
        <v>#DIV/0!</v>
      </c>
      <c r="R106" s="127" t="e">
        <f>($B$3*$B$7)*(IF(ABS('Chemical Properties'!I63)&gt;0,'Chemical Properties'!I63,'Chemical Properties'!I26))*$B$8*M25/(IF(ABS('Chemical Properties'!J63)&gt;0,'Chemical Properties'!J63,'Chemical Properties'!J26)+M25)</f>
        <v>#DIV/0!</v>
      </c>
      <c r="S106" s="130" t="e">
        <f>O106/N106*100</f>
        <v>#DIV/0!</v>
      </c>
      <c r="T106" s="130" t="e">
        <f>P106/N106*100</f>
        <v>#DIV/0!</v>
      </c>
      <c r="U106" s="130" t="e">
        <f>R106/N106*100</f>
        <v>#DIV/0!</v>
      </c>
      <c r="V106" s="142" t="e">
        <f>Q106/N106*100</f>
        <v>#DIV/0!</v>
      </c>
      <c r="W106" s="130" t="e">
        <f>(O106+P106+Q106+R106)/N106*100</f>
        <v>#DIV/0!</v>
      </c>
    </row>
    <row r="107" spans="13:23">
      <c r="M107" s="81" t="s">
        <v>60</v>
      </c>
      <c r="N107" s="72">
        <f>$B$6*B38</f>
        <v>8.7599999999999997E-2</v>
      </c>
      <c r="O107" s="127" t="e">
        <f t="shared" si="11"/>
        <v>#DIV/0!</v>
      </c>
      <c r="P107" s="127" t="e">
        <f>K26</f>
        <v>#DIV/0!</v>
      </c>
      <c r="Q107" s="127" t="e">
        <f t="shared" si="13"/>
        <v>#DIV/0!</v>
      </c>
      <c r="R107" s="127" t="e">
        <f>($B$3*$B$7)*(IF(ABS('Chemical Properties'!I64)&gt;0,'Chemical Properties'!I64,'Chemical Properties'!I27))*$B$8*M26/(IF(ABS('Chemical Properties'!J64)&gt;0,'Chemical Properties'!J64,'Chemical Properties'!J27)+M26)</f>
        <v>#DIV/0!</v>
      </c>
      <c r="S107" s="130" t="e">
        <f>O107/N107*100</f>
        <v>#DIV/0!</v>
      </c>
      <c r="T107" s="130" t="e">
        <f>P107/N107*100</f>
        <v>#DIV/0!</v>
      </c>
      <c r="U107" s="130" t="e">
        <f>R107/N107*100</f>
        <v>#DIV/0!</v>
      </c>
      <c r="V107" s="142" t="e">
        <f>Q107/N107*100</f>
        <v>#DIV/0!</v>
      </c>
      <c r="W107" s="130" t="e">
        <f>(O107+P107+Q107+R107)/N107*100</f>
        <v>#DIV/0!</v>
      </c>
    </row>
    <row r="108" spans="13:23">
      <c r="M108" s="65" t="s">
        <v>61</v>
      </c>
      <c r="N108" s="72">
        <f>$B$6*B39</f>
        <v>8.7599999999999997E-2</v>
      </c>
      <c r="O108" s="127" t="e">
        <f t="shared" si="11"/>
        <v>#DIV/0!</v>
      </c>
      <c r="P108" s="127" t="e">
        <f>K27</f>
        <v>#DIV/0!</v>
      </c>
      <c r="Q108" s="127" t="e">
        <f t="shared" si="13"/>
        <v>#DIV/0!</v>
      </c>
      <c r="R108" s="127" t="e">
        <f>($B$3*$B$7)*(IF(ABS('Chemical Properties'!I65)&gt;0,'Chemical Properties'!I65,'Chemical Properties'!I28))*$B$8*M27/(IF(ABS('Chemical Properties'!J65)&gt;0,'Chemical Properties'!J65,'Chemical Properties'!J28)+M27)</f>
        <v>#DIV/0!</v>
      </c>
      <c r="S108" s="130" t="e">
        <f>O108/N108*100</f>
        <v>#DIV/0!</v>
      </c>
      <c r="T108" s="130" t="e">
        <f>P108/N108*100</f>
        <v>#DIV/0!</v>
      </c>
      <c r="U108" s="130" t="e">
        <f>R108/N108*100</f>
        <v>#DIV/0!</v>
      </c>
      <c r="V108" s="142" t="e">
        <f>Q108/N108*100</f>
        <v>#DIV/0!</v>
      </c>
      <c r="W108" s="130" t="e">
        <f>(O108+P108+Q108+R108)/N108*100</f>
        <v>#DIV/0!</v>
      </c>
    </row>
    <row r="109" spans="13:23">
      <c r="M109" s="65" t="s">
        <v>256</v>
      </c>
      <c r="N109" s="72">
        <f>$B$6*B40</f>
        <v>8.7599999999999997E-2</v>
      </c>
      <c r="O109" s="127">
        <f t="shared" si="11"/>
        <v>4.2234001564450639E-3</v>
      </c>
      <c r="P109" s="127">
        <f>K28</f>
        <v>5.0721373733209237E-3</v>
      </c>
      <c r="Q109" s="127">
        <f t="shared" si="13"/>
        <v>7.9209425564340393E-5</v>
      </c>
      <c r="R109" s="127">
        <f>($B$3*$B$7)*(IF(ABS('Chemical Properties'!I66)&gt;0,'Chemical Properties'!I66,'Chemical Properties'!I29))*$B$8*M28/(IF(ABS('Chemical Properties'!J66)&gt;0,'Chemical Properties'!J66,'Chemical Properties'!J29)+M28)</f>
        <v>7.8297523724550858E-2</v>
      </c>
      <c r="S109" s="130">
        <f>O109/N109*100</f>
        <v>4.8212330553025842</v>
      </c>
      <c r="T109" s="130">
        <f>P109/N109*100</f>
        <v>5.7901111567590453</v>
      </c>
      <c r="U109" s="130">
        <f>R109/N109*100</f>
        <v>89.380734845377702</v>
      </c>
      <c r="V109" s="142">
        <f>Q109/N109*100</f>
        <v>9.0421718680753882E-2</v>
      </c>
      <c r="W109" s="130">
        <f>(O109+P109+Q109+R109)/N109*100</f>
        <v>100.08250077612009</v>
      </c>
    </row>
    <row r="111" spans="13:23">
      <c r="M111" s="91"/>
      <c r="N111" s="277"/>
      <c r="O111" s="255"/>
      <c r="P111" s="255"/>
      <c r="Q111" s="255"/>
      <c r="R111" s="255"/>
      <c r="S111" s="256"/>
      <c r="T111" s="256"/>
      <c r="U111" s="256"/>
      <c r="V111" s="260"/>
      <c r="W111" s="256"/>
    </row>
  </sheetData>
  <mergeCells count="5">
    <mergeCell ref="A1:E1"/>
    <mergeCell ref="A14:C14"/>
    <mergeCell ref="I46:K46"/>
    <mergeCell ref="E43:G43"/>
    <mergeCell ref="M82:T82"/>
  </mergeCells>
  <pageMargins left="0.7" right="0.7" top="0.75" bottom="0.75" header="0.3" footer="0.3"/>
  <pageSetup paperSize="0" orientation="portrait" r:id="rId1"/>
</worksheet>
</file>

<file path=xl/worksheets/sheet11.xml><?xml version="1.0" encoding="utf-8"?>
<worksheet xmlns="http://schemas.openxmlformats.org/spreadsheetml/2006/main" xmlns:r="http://schemas.openxmlformats.org/officeDocument/2006/relationships">
  <sheetPr>
    <tabColor theme="9"/>
    <pageSetUpPr fitToPage="1"/>
  </sheetPr>
  <dimension ref="A2:Q138"/>
  <sheetViews>
    <sheetView workbookViewId="0">
      <selection activeCell="J41" sqref="J41"/>
    </sheetView>
  </sheetViews>
  <sheetFormatPr defaultRowHeight="11.25"/>
  <cols>
    <col min="1" max="1" width="9.140625" style="1"/>
    <col min="2" max="2" width="29.28515625" style="1" customWidth="1"/>
    <col min="3" max="4" width="9.140625" style="1"/>
    <col min="5" max="5" width="10.28515625" style="1" customWidth="1"/>
    <col min="6" max="6" width="9.5703125" style="1" bestFit="1" customWidth="1"/>
    <col min="7" max="8" width="9.140625" style="1"/>
    <col min="9" max="9" width="9.5703125" style="1" customWidth="1"/>
    <col min="10" max="10" width="9.140625" style="1"/>
    <col min="11" max="11" width="10.85546875" style="1" bestFit="1" customWidth="1"/>
    <col min="12" max="12" width="10.42578125" style="1" bestFit="1" customWidth="1"/>
    <col min="13" max="14" width="9.140625" style="1"/>
    <col min="15" max="15" width="10.42578125" style="1" bestFit="1" customWidth="1"/>
    <col min="16" max="16" width="9.140625" style="1"/>
    <col min="17" max="17" width="10.85546875" style="1" bestFit="1" customWidth="1"/>
    <col min="18" max="18" width="10.42578125" style="1" bestFit="1" customWidth="1"/>
    <col min="19" max="16384" width="9.140625" style="1"/>
  </cols>
  <sheetData>
    <row r="2" spans="1:17" ht="18">
      <c r="A2" s="303" t="s">
        <v>119</v>
      </c>
      <c r="B2" s="304"/>
      <c r="C2" s="304"/>
      <c r="D2" s="304"/>
      <c r="E2" s="304"/>
      <c r="F2" s="304"/>
      <c r="G2" s="304"/>
      <c r="H2" s="304"/>
      <c r="I2" s="304"/>
      <c r="J2" s="305"/>
      <c r="N2" s="141" t="s">
        <v>174</v>
      </c>
    </row>
    <row r="3" spans="1:17" ht="34.5" customHeight="1">
      <c r="A3" s="31" t="s">
        <v>20</v>
      </c>
      <c r="B3" s="31" t="s">
        <v>62</v>
      </c>
      <c r="C3" s="31" t="s">
        <v>63</v>
      </c>
      <c r="D3" s="31" t="s">
        <v>64</v>
      </c>
      <c r="E3" s="31" t="s">
        <v>65</v>
      </c>
      <c r="F3" s="31" t="s">
        <v>66</v>
      </c>
      <c r="G3" s="31" t="s">
        <v>67</v>
      </c>
      <c r="H3" s="31" t="s">
        <v>68</v>
      </c>
      <c r="I3" s="31" t="s">
        <v>99</v>
      </c>
      <c r="J3" s="31" t="s">
        <v>81</v>
      </c>
      <c r="L3" s="164"/>
      <c r="N3" s="41" t="s">
        <v>86</v>
      </c>
    </row>
    <row r="4" spans="1:17">
      <c r="A4" s="9">
        <v>67561</v>
      </c>
      <c r="B4" s="10" t="s">
        <v>17</v>
      </c>
      <c r="C4" s="11">
        <v>32.04</v>
      </c>
      <c r="D4" s="12">
        <v>126</v>
      </c>
      <c r="E4" s="165">
        <v>4.5499999999999996E-6</v>
      </c>
      <c r="F4" s="13">
        <v>1.6399999999999999E-5</v>
      </c>
      <c r="G4" s="13">
        <v>0.15</v>
      </c>
      <c r="H4" s="14">
        <v>-0.71</v>
      </c>
      <c r="I4" s="15">
        <v>5.0000000000000004E-6</v>
      </c>
      <c r="J4" s="9">
        <v>90</v>
      </c>
      <c r="K4" s="167"/>
      <c r="N4" s="16">
        <f>10^(-0.32+IF(H41="",H4,H41))</f>
        <v>9.3325430079699068E-2</v>
      </c>
      <c r="O4" s="151"/>
      <c r="P4" s="171"/>
      <c r="Q4" s="171"/>
    </row>
    <row r="5" spans="1:17">
      <c r="A5" s="9">
        <v>71432</v>
      </c>
      <c r="B5" s="17" t="s">
        <v>6</v>
      </c>
      <c r="C5" s="11">
        <v>78.11</v>
      </c>
      <c r="D5" s="12">
        <v>95</v>
      </c>
      <c r="E5" s="165">
        <v>5.5792857142857146E-3</v>
      </c>
      <c r="F5" s="13">
        <v>9.7999999999999993E-6</v>
      </c>
      <c r="G5" s="13">
        <v>8.7999999999999995E-2</v>
      </c>
      <c r="H5" s="14">
        <v>2.13</v>
      </c>
      <c r="I5" s="18">
        <v>5.2777777777777777E-6</v>
      </c>
      <c r="J5" s="9">
        <v>13.571428571428573</v>
      </c>
      <c r="K5" s="167"/>
      <c r="N5" s="16">
        <f t="shared" ref="N5:N25" si="0">10^(-0.32+H5)</f>
        <v>64.565422903465532</v>
      </c>
      <c r="O5" s="151"/>
      <c r="P5" s="171"/>
      <c r="Q5" s="171"/>
    </row>
    <row r="6" spans="1:17">
      <c r="A6" s="9">
        <v>75150</v>
      </c>
      <c r="B6" s="17" t="s">
        <v>13</v>
      </c>
      <c r="C6" s="11">
        <v>76.14</v>
      </c>
      <c r="D6" s="12">
        <v>359</v>
      </c>
      <c r="E6" s="165">
        <v>3.0223639982308714E-2</v>
      </c>
      <c r="F6" s="13">
        <v>1.0000000000000001E-5</v>
      </c>
      <c r="G6" s="13">
        <v>0.104</v>
      </c>
      <c r="H6" s="14">
        <v>2</v>
      </c>
      <c r="I6" s="18">
        <v>4.25E-6</v>
      </c>
      <c r="J6" s="9">
        <v>17.121913733084138</v>
      </c>
      <c r="K6" s="167"/>
      <c r="N6" s="16">
        <f t="shared" si="0"/>
        <v>47.863009232263856</v>
      </c>
      <c r="O6" s="151"/>
      <c r="P6" s="171"/>
      <c r="Q6" s="171"/>
    </row>
    <row r="7" spans="1:17">
      <c r="A7" s="9">
        <v>78933</v>
      </c>
      <c r="B7" s="10" t="s">
        <v>69</v>
      </c>
      <c r="C7" s="11">
        <v>72.11</v>
      </c>
      <c r="D7" s="12">
        <v>95.3</v>
      </c>
      <c r="E7" s="165">
        <v>5.5899999999999997E-5</v>
      </c>
      <c r="F7" s="13">
        <v>9.7999999999999993E-6</v>
      </c>
      <c r="G7" s="13">
        <v>8.0799999999999997E-2</v>
      </c>
      <c r="H7" s="14">
        <v>0.28000000000000003</v>
      </c>
      <c r="I7" s="15">
        <v>5.5555555555555552E-7</v>
      </c>
      <c r="J7" s="9">
        <v>10</v>
      </c>
      <c r="K7" s="167"/>
      <c r="N7" s="16">
        <f t="shared" si="0"/>
        <v>0.91201083935590987</v>
      </c>
      <c r="O7" s="151"/>
      <c r="P7" s="171"/>
      <c r="Q7" s="171"/>
    </row>
    <row r="8" spans="1:17">
      <c r="A8" s="9">
        <v>91203</v>
      </c>
      <c r="B8" s="17" t="s">
        <v>9</v>
      </c>
      <c r="C8" s="11">
        <v>128.16999999999999</v>
      </c>
      <c r="D8" s="12">
        <v>8.5000000000000006E-2</v>
      </c>
      <c r="E8" s="165">
        <v>4.8299999999999998E-4</v>
      </c>
      <c r="F8" s="13">
        <v>7.5000000000000002E-6</v>
      </c>
      <c r="G8" s="13">
        <v>5.8999999999999997E-2</v>
      </c>
      <c r="H8" s="14">
        <v>3.36</v>
      </c>
      <c r="I8" s="15">
        <v>1.1797222222222222E-5</v>
      </c>
      <c r="J8" s="9">
        <v>42.47</v>
      </c>
      <c r="K8" s="167"/>
      <c r="N8" s="16">
        <f t="shared" si="0"/>
        <v>1096.4781961431863</v>
      </c>
      <c r="O8" s="151"/>
      <c r="P8" s="171"/>
      <c r="Q8" s="171"/>
    </row>
    <row r="9" spans="1:17">
      <c r="A9" s="9">
        <v>98828</v>
      </c>
      <c r="B9" s="19" t="s">
        <v>7</v>
      </c>
      <c r="C9" s="20">
        <v>120.19</v>
      </c>
      <c r="D9" s="21">
        <v>4.5</v>
      </c>
      <c r="E9" s="165">
        <v>1.46E-2</v>
      </c>
      <c r="F9" s="13">
        <v>7.0999999999999998E-6</v>
      </c>
      <c r="G9" s="13">
        <v>8.5999999999999993E-2</v>
      </c>
      <c r="H9" s="14">
        <v>3.58</v>
      </c>
      <c r="I9" s="18">
        <v>8.638888888888889E-6</v>
      </c>
      <c r="J9" s="9">
        <v>10.796639224919337</v>
      </c>
      <c r="K9" s="167"/>
      <c r="N9" s="16">
        <f t="shared" si="0"/>
        <v>1819.7008586099851</v>
      </c>
      <c r="O9" s="151"/>
      <c r="P9" s="171"/>
      <c r="Q9" s="171"/>
    </row>
    <row r="10" spans="1:17">
      <c r="A10" s="9">
        <v>100414</v>
      </c>
      <c r="B10" s="17" t="s">
        <v>8</v>
      </c>
      <c r="C10" s="11">
        <v>106.17</v>
      </c>
      <c r="D10" s="12">
        <v>9.6</v>
      </c>
      <c r="E10" s="165">
        <v>7.8799999999999999E-3</v>
      </c>
      <c r="F10" s="13">
        <v>7.7999999999999999E-6</v>
      </c>
      <c r="G10" s="13">
        <v>7.4999999999999997E-2</v>
      </c>
      <c r="H10" s="14">
        <v>3.14</v>
      </c>
      <c r="I10" s="18">
        <v>1.8888888888888888E-6</v>
      </c>
      <c r="J10" s="9">
        <v>3.2380952380952377</v>
      </c>
      <c r="K10" s="167"/>
      <c r="N10" s="16">
        <f t="shared" si="0"/>
        <v>660.693448007597</v>
      </c>
      <c r="O10" s="151"/>
      <c r="P10" s="171"/>
      <c r="Q10" s="171"/>
    </row>
    <row r="11" spans="1:17">
      <c r="A11" s="9">
        <v>100425</v>
      </c>
      <c r="B11" s="17" t="s">
        <v>11</v>
      </c>
      <c r="C11" s="11">
        <v>104.15</v>
      </c>
      <c r="D11" s="12">
        <v>6.12</v>
      </c>
      <c r="E11" s="165">
        <v>2.7499999999999998E-3</v>
      </c>
      <c r="F11" s="13">
        <v>7.9999999999999996E-6</v>
      </c>
      <c r="G11" s="13">
        <v>7.0999999999999994E-2</v>
      </c>
      <c r="H11" s="14">
        <v>2.94</v>
      </c>
      <c r="I11" s="15">
        <v>8.638888888888889E-6</v>
      </c>
      <c r="J11" s="9">
        <v>282.72727272727275</v>
      </c>
      <c r="K11" s="167"/>
      <c r="N11" s="16">
        <f t="shared" si="0"/>
        <v>416.86938347033572</v>
      </c>
      <c r="O11" s="151"/>
      <c r="P11" s="171"/>
      <c r="Q11" s="171"/>
    </row>
    <row r="12" spans="1:17">
      <c r="A12" s="9">
        <v>106990</v>
      </c>
      <c r="B12" s="19" t="s">
        <v>70</v>
      </c>
      <c r="C12" s="11">
        <v>54.09</v>
      </c>
      <c r="D12" s="12">
        <v>2110</v>
      </c>
      <c r="E12" s="165">
        <v>7.3599999999999999E-2</v>
      </c>
      <c r="F12" s="13">
        <v>1.08E-5</v>
      </c>
      <c r="G12" s="13">
        <v>0.249</v>
      </c>
      <c r="H12" s="14">
        <v>1.99</v>
      </c>
      <c r="I12" s="18">
        <v>4.25E-6</v>
      </c>
      <c r="J12" s="9">
        <v>22.046017386959047</v>
      </c>
      <c r="K12" s="167"/>
      <c r="N12" s="16">
        <f t="shared" si="0"/>
        <v>46.773514128719818</v>
      </c>
      <c r="O12" s="151"/>
      <c r="P12" s="171"/>
      <c r="Q12" s="171"/>
    </row>
    <row r="13" spans="1:17">
      <c r="A13" s="9">
        <v>107211</v>
      </c>
      <c r="B13" s="19" t="s">
        <v>16</v>
      </c>
      <c r="C13" s="11">
        <f>2*12.011+8*1.0079+2*14.0067</f>
        <v>60.098600000000005</v>
      </c>
      <c r="D13" s="22">
        <v>0.126</v>
      </c>
      <c r="E13" s="166">
        <v>1.8000179999999999E-9</v>
      </c>
      <c r="F13" s="13">
        <v>1.4100000000000001E-5</v>
      </c>
      <c r="G13" s="13">
        <v>0.152619</v>
      </c>
      <c r="H13" s="14">
        <v>-2.04</v>
      </c>
      <c r="I13" s="18">
        <v>4.8777777777777773E-6</v>
      </c>
      <c r="J13" s="9">
        <v>289.76897689768975</v>
      </c>
      <c r="K13" s="167"/>
      <c r="N13" s="16">
        <f t="shared" si="0"/>
        <v>4.3651583224016566E-3</v>
      </c>
      <c r="O13" s="151"/>
      <c r="P13" s="171"/>
      <c r="Q13" s="171"/>
    </row>
    <row r="14" spans="1:17">
      <c r="A14" s="9">
        <v>108101</v>
      </c>
      <c r="B14" s="10" t="s">
        <v>71</v>
      </c>
      <c r="C14" s="11">
        <v>100.16</v>
      </c>
      <c r="D14" s="12">
        <v>19.899999999999999</v>
      </c>
      <c r="E14" s="165">
        <v>1.3803213296398892E-4</v>
      </c>
      <c r="F14" s="13">
        <v>7.7999999999999999E-6</v>
      </c>
      <c r="G14" s="13">
        <v>7.4999999999999997E-2</v>
      </c>
      <c r="H14" s="14">
        <v>1.19</v>
      </c>
      <c r="I14" s="15">
        <v>2.0555555555555556E-7</v>
      </c>
      <c r="J14" s="9">
        <v>1.6386813840923011</v>
      </c>
      <c r="K14" s="167"/>
      <c r="N14" s="16">
        <f t="shared" si="0"/>
        <v>7.4131024130091765</v>
      </c>
      <c r="O14" s="151"/>
      <c r="P14" s="171"/>
      <c r="Q14" s="171"/>
    </row>
    <row r="15" spans="1:17">
      <c r="A15" s="9">
        <v>108883</v>
      </c>
      <c r="B15" s="17" t="s">
        <v>12</v>
      </c>
      <c r="C15" s="11">
        <v>92.14</v>
      </c>
      <c r="D15" s="12">
        <v>28.4</v>
      </c>
      <c r="E15" s="165">
        <v>6.6400000000000001E-3</v>
      </c>
      <c r="F15" s="13">
        <v>8.6000000000000007E-6</v>
      </c>
      <c r="G15" s="13">
        <v>8.6999999999999994E-2</v>
      </c>
      <c r="H15" s="14">
        <v>2.75</v>
      </c>
      <c r="I15" s="15">
        <v>2.0411111111111111E-5</v>
      </c>
      <c r="J15" s="9">
        <v>30.616666666666671</v>
      </c>
      <c r="K15" s="167"/>
      <c r="N15" s="16">
        <f t="shared" si="0"/>
        <v>269.15348039269179</v>
      </c>
      <c r="O15" s="151"/>
      <c r="P15" s="171"/>
      <c r="Q15" s="171"/>
    </row>
    <row r="16" spans="1:17">
      <c r="A16" s="9">
        <v>108952</v>
      </c>
      <c r="B16" s="17" t="s">
        <v>10</v>
      </c>
      <c r="C16" s="11">
        <v>94.11</v>
      </c>
      <c r="D16" s="12">
        <v>0.27600000000000002</v>
      </c>
      <c r="E16" s="165">
        <v>3.9700000000000002E-7</v>
      </c>
      <c r="F16" s="13">
        <v>9.0999999999999993E-6</v>
      </c>
      <c r="G16" s="13">
        <v>8.2000000000000003E-2</v>
      </c>
      <c r="H16" s="14">
        <v>1.48</v>
      </c>
      <c r="I16" s="15">
        <v>2.6944444444444445E-5</v>
      </c>
      <c r="J16" s="9">
        <v>7.4615384615384617</v>
      </c>
      <c r="K16" s="167"/>
      <c r="N16" s="16">
        <f t="shared" si="0"/>
        <v>14.454397707459275</v>
      </c>
      <c r="O16" s="151"/>
      <c r="P16" s="171"/>
      <c r="Q16" s="171"/>
    </row>
    <row r="17" spans="1:17">
      <c r="A17" s="9">
        <v>110543</v>
      </c>
      <c r="B17" s="19" t="s">
        <v>72</v>
      </c>
      <c r="C17" s="11">
        <v>86.18</v>
      </c>
      <c r="D17" s="12">
        <v>151</v>
      </c>
      <c r="E17" s="165">
        <v>0.122</v>
      </c>
      <c r="F17" s="13">
        <v>7.7700000000000001E-6</v>
      </c>
      <c r="G17" s="13">
        <v>0.2</v>
      </c>
      <c r="H17" s="14">
        <v>4</v>
      </c>
      <c r="I17" s="15">
        <v>4.25E-6</v>
      </c>
      <c r="J17" s="9">
        <v>10.41967452478112</v>
      </c>
      <c r="K17" s="167"/>
      <c r="N17" s="16">
        <f t="shared" si="0"/>
        <v>4786.3009232263848</v>
      </c>
      <c r="O17" s="151"/>
      <c r="P17" s="171"/>
      <c r="Q17" s="171"/>
    </row>
    <row r="18" spans="1:17">
      <c r="A18" s="9">
        <v>1319773</v>
      </c>
      <c r="B18" s="19" t="s">
        <v>73</v>
      </c>
      <c r="C18" s="23">
        <v>108.1</v>
      </c>
      <c r="D18" s="22">
        <v>0.3</v>
      </c>
      <c r="E18" s="166">
        <v>1.6199999999999999E-6</v>
      </c>
      <c r="F18" s="24">
        <v>9.3000000000000007E-6</v>
      </c>
      <c r="G18" s="24">
        <v>6.9400000000000003E-2</v>
      </c>
      <c r="H18" s="25">
        <v>0</v>
      </c>
      <c r="I18" s="18">
        <v>6.3888888888888885E-6</v>
      </c>
      <c r="J18" s="9">
        <v>1.3529411764705883</v>
      </c>
      <c r="K18" s="167"/>
      <c r="N18" s="16">
        <f t="shared" si="0"/>
        <v>0.47863009232263831</v>
      </c>
      <c r="O18" s="151"/>
      <c r="P18" s="171"/>
      <c r="Q18" s="171"/>
    </row>
    <row r="19" spans="1:17">
      <c r="A19" s="9">
        <v>1330207</v>
      </c>
      <c r="B19" s="26" t="s">
        <v>74</v>
      </c>
      <c r="C19" s="11">
        <v>106.17</v>
      </c>
      <c r="D19" s="12">
        <v>8.0417802622746155</v>
      </c>
      <c r="E19" s="165">
        <v>6.0412386408599814E-3</v>
      </c>
      <c r="F19" s="13">
        <v>9.3400000000000004E-6</v>
      </c>
      <c r="G19" s="13">
        <v>7.1400000000000005E-2</v>
      </c>
      <c r="H19" s="14">
        <v>3.17</v>
      </c>
      <c r="I19" s="15">
        <v>1.1333333333333332E-5</v>
      </c>
      <c r="J19" s="9">
        <v>22.666666666666664</v>
      </c>
      <c r="K19" s="167"/>
      <c r="N19" s="16">
        <f t="shared" si="0"/>
        <v>707.94578438413873</v>
      </c>
      <c r="O19" s="151"/>
      <c r="P19" s="171"/>
      <c r="Q19" s="171"/>
    </row>
    <row r="20" spans="1:17">
      <c r="A20" s="9">
        <v>1634044</v>
      </c>
      <c r="B20" s="19" t="s">
        <v>75</v>
      </c>
      <c r="C20" s="32">
        <v>88</v>
      </c>
      <c r="D20" s="22">
        <v>185.94900000000001</v>
      </c>
      <c r="E20" s="166">
        <v>5.5512550000000002E-4</v>
      </c>
      <c r="F20" s="13">
        <v>1.0499999999999999E-5</v>
      </c>
      <c r="G20" s="13">
        <v>0.1024</v>
      </c>
      <c r="H20" s="27">
        <v>1.90147</v>
      </c>
      <c r="I20" s="15">
        <v>4.8777777777777773E-6</v>
      </c>
      <c r="J20" s="9">
        <v>24.63925105656925</v>
      </c>
      <c r="K20" s="167"/>
      <c r="N20" s="16">
        <f t="shared" si="0"/>
        <v>38.147844177206586</v>
      </c>
      <c r="O20" s="151"/>
      <c r="P20" s="171"/>
      <c r="Q20" s="171"/>
    </row>
    <row r="21" spans="1:17">
      <c r="A21" s="9">
        <v>92524</v>
      </c>
      <c r="B21" s="26" t="s">
        <v>78</v>
      </c>
      <c r="C21" s="28">
        <v>154.21</v>
      </c>
      <c r="D21" s="12">
        <v>9.6399999999999993E-3</v>
      </c>
      <c r="E21" s="165">
        <v>2.7999999999999998E-4</v>
      </c>
      <c r="F21" s="13">
        <v>8.1999999999999994E-6</v>
      </c>
      <c r="G21" s="13">
        <v>4.0399999999999998E-2</v>
      </c>
      <c r="H21" s="29">
        <v>3.76</v>
      </c>
      <c r="I21" s="42">
        <v>5.2777777777777777E-6</v>
      </c>
      <c r="J21" s="44">
        <v>13.571428571428573</v>
      </c>
      <c r="K21" s="167"/>
      <c r="N21" s="16">
        <f t="shared" si="0"/>
        <v>2754.228703338169</v>
      </c>
      <c r="O21" s="151"/>
      <c r="P21" s="171"/>
      <c r="Q21" s="171"/>
    </row>
    <row r="22" spans="1:17">
      <c r="A22" s="9">
        <v>463581</v>
      </c>
      <c r="B22" s="9" t="s">
        <v>14</v>
      </c>
      <c r="C22" s="14">
        <v>60.07</v>
      </c>
      <c r="D22" s="14">
        <v>9412</v>
      </c>
      <c r="E22" s="165">
        <v>4.9200000000000001E-2</v>
      </c>
      <c r="F22" s="12">
        <v>1.2999999999999999E-5</v>
      </c>
      <c r="G22" s="13">
        <v>0.16170000000000001</v>
      </c>
      <c r="H22" s="29">
        <v>0.80089999999999995</v>
      </c>
      <c r="I22" s="50">
        <v>4.2533999999999998E-6</v>
      </c>
      <c r="J22" s="52">
        <v>17.121913733084138</v>
      </c>
      <c r="K22" s="167"/>
      <c r="N22" s="16">
        <f t="shared" si="0"/>
        <v>3.0262165357633473</v>
      </c>
      <c r="O22" s="151"/>
      <c r="P22" s="171"/>
      <c r="Q22" s="171"/>
    </row>
    <row r="23" spans="1:17">
      <c r="A23" s="9">
        <v>107062</v>
      </c>
      <c r="B23" s="9" t="s">
        <v>79</v>
      </c>
      <c r="C23" s="14">
        <v>98.96</v>
      </c>
      <c r="D23" s="14">
        <v>79.5</v>
      </c>
      <c r="E23" s="165">
        <v>1.4E-3</v>
      </c>
      <c r="F23" s="12">
        <v>9.9000000000000001E-6</v>
      </c>
      <c r="G23" s="13">
        <v>0.104</v>
      </c>
      <c r="H23" s="29">
        <v>1.48</v>
      </c>
      <c r="I23" s="36">
        <v>5.8329999999999999E-7</v>
      </c>
      <c r="J23" s="30">
        <v>2.1429</v>
      </c>
      <c r="K23" s="167"/>
      <c r="N23" s="16">
        <f t="shared" si="0"/>
        <v>14.454397707459275</v>
      </c>
      <c r="O23" s="151"/>
      <c r="P23" s="171"/>
      <c r="Q23" s="171"/>
    </row>
    <row r="24" spans="1:17">
      <c r="A24" s="30">
        <v>111422</v>
      </c>
      <c r="B24" s="9" t="s">
        <v>15</v>
      </c>
      <c r="C24" s="14">
        <v>105.14</v>
      </c>
      <c r="D24" s="14">
        <v>2.7799999999999998E-4</v>
      </c>
      <c r="E24" s="165">
        <v>3.8699999999999999E-11</v>
      </c>
      <c r="F24" s="12">
        <v>9.7999999999999993E-6</v>
      </c>
      <c r="G24" s="13">
        <v>7.0400000000000004E-2</v>
      </c>
      <c r="H24" s="29">
        <v>-1.43</v>
      </c>
      <c r="I24" s="48">
        <v>2.1666999999999999E-6</v>
      </c>
      <c r="J24" s="49">
        <v>70.909099999999995</v>
      </c>
      <c r="K24" s="167"/>
      <c r="N24" s="16">
        <f t="shared" si="0"/>
        <v>1.7782794100389226E-2</v>
      </c>
      <c r="O24" s="151"/>
      <c r="P24" s="171"/>
      <c r="Q24" s="171"/>
    </row>
    <row r="25" spans="1:17">
      <c r="A25" s="30">
        <v>540841</v>
      </c>
      <c r="B25" s="9" t="s">
        <v>80</v>
      </c>
      <c r="C25" s="14">
        <v>114.23</v>
      </c>
      <c r="D25" s="14">
        <v>49.171999999999997</v>
      </c>
      <c r="E25" s="165">
        <v>3.03</v>
      </c>
      <c r="F25" s="12">
        <v>6.5899999999999996E-6</v>
      </c>
      <c r="G25" s="13">
        <v>7.3300000000000004E-2</v>
      </c>
      <c r="H25" s="29">
        <v>5.83</v>
      </c>
      <c r="I25" s="45">
        <v>4.25E-6</v>
      </c>
      <c r="J25" s="46">
        <v>10.41967452478112</v>
      </c>
      <c r="K25" s="167"/>
      <c r="N25" s="16">
        <f t="shared" si="0"/>
        <v>323593.65692962846</v>
      </c>
      <c r="O25" s="151"/>
      <c r="P25" s="171"/>
      <c r="Q25" s="171"/>
    </row>
    <row r="26" spans="1:17">
      <c r="A26" s="9"/>
      <c r="B26" s="9" t="s">
        <v>59</v>
      </c>
      <c r="C26" s="14"/>
      <c r="D26" s="14"/>
      <c r="E26" s="165"/>
      <c r="F26" s="12"/>
      <c r="G26" s="13"/>
      <c r="H26" s="29"/>
      <c r="I26" s="14"/>
      <c r="J26" s="9"/>
      <c r="K26" s="167"/>
      <c r="N26" s="16">
        <f>10^(-0.32+H26)</f>
        <v>0.47863009232263831</v>
      </c>
      <c r="O26" s="151"/>
      <c r="P26" s="171"/>
      <c r="Q26" s="171"/>
    </row>
    <row r="27" spans="1:17">
      <c r="A27" s="9"/>
      <c r="B27" s="9" t="s">
        <v>60</v>
      </c>
      <c r="C27" s="14"/>
      <c r="D27" s="14"/>
      <c r="E27" s="165"/>
      <c r="F27" s="14"/>
      <c r="G27" s="13"/>
      <c r="H27" s="29"/>
      <c r="I27" s="14"/>
      <c r="J27" s="9"/>
      <c r="K27" s="167"/>
      <c r="N27" s="16">
        <f>10^(-0.32+H27)</f>
        <v>0.47863009232263831</v>
      </c>
      <c r="O27" s="151"/>
      <c r="P27" s="171"/>
      <c r="Q27" s="171"/>
    </row>
    <row r="28" spans="1:17">
      <c r="A28" s="9"/>
      <c r="B28" s="9" t="s">
        <v>61</v>
      </c>
      <c r="C28" s="14"/>
      <c r="D28" s="14"/>
      <c r="E28" s="165"/>
      <c r="F28" s="14"/>
      <c r="G28" s="13"/>
      <c r="H28" s="29"/>
      <c r="I28" s="14"/>
      <c r="J28" s="9"/>
      <c r="K28" s="167"/>
      <c r="N28" s="16">
        <f>10^(-0.32+H28)</f>
        <v>0.47863009232263831</v>
      </c>
      <c r="O28" s="151"/>
      <c r="P28" s="171"/>
      <c r="Q28" s="171"/>
    </row>
    <row r="29" spans="1:17">
      <c r="A29" s="9">
        <v>106978</v>
      </c>
      <c r="B29" s="9" t="s">
        <v>256</v>
      </c>
      <c r="C29" s="14">
        <v>58.12</v>
      </c>
      <c r="D29" s="12">
        <v>1820</v>
      </c>
      <c r="E29" s="165">
        <v>0.95</v>
      </c>
      <c r="F29" s="12">
        <v>1.03E-5</v>
      </c>
      <c r="G29" s="13">
        <v>9.9199999999999997E-2</v>
      </c>
      <c r="H29" s="29">
        <v>2.89</v>
      </c>
      <c r="I29" s="45">
        <v>4.25E-6</v>
      </c>
      <c r="J29" s="46">
        <v>10.41967452478112</v>
      </c>
      <c r="K29" s="167"/>
      <c r="N29" s="16">
        <f>10^(-0.32+H29)</f>
        <v>371.53522909717299</v>
      </c>
      <c r="O29" s="151"/>
      <c r="P29" s="171"/>
      <c r="Q29" s="171"/>
    </row>
    <row r="30" spans="1:17">
      <c r="I30" s="267"/>
      <c r="J30" s="267"/>
      <c r="O30" s="151"/>
      <c r="P30" s="171"/>
      <c r="Q30" s="171"/>
    </row>
    <row r="31" spans="1:17">
      <c r="A31" s="262"/>
      <c r="B31" s="262"/>
      <c r="C31" s="263"/>
      <c r="D31" s="5"/>
      <c r="E31" s="264"/>
      <c r="F31" s="5"/>
      <c r="G31" s="3"/>
      <c r="H31" s="265"/>
      <c r="I31" s="268"/>
      <c r="J31" s="269"/>
      <c r="K31" s="266"/>
      <c r="L31" s="262"/>
      <c r="M31" s="262"/>
      <c r="N31" s="7"/>
      <c r="O31" s="151"/>
      <c r="P31" s="171"/>
      <c r="Q31" s="171"/>
    </row>
    <row r="32" spans="1:17">
      <c r="A32" s="1" t="s">
        <v>76</v>
      </c>
      <c r="G32" s="3"/>
      <c r="H32" s="8"/>
      <c r="I32" s="267"/>
      <c r="J32" s="270"/>
      <c r="K32" s="7"/>
    </row>
    <row r="33" spans="1:13">
      <c r="A33" s="47"/>
      <c r="B33" s="1" t="s">
        <v>77</v>
      </c>
      <c r="E33" s="5"/>
      <c r="F33" s="3"/>
      <c r="G33" s="3"/>
      <c r="H33" s="8"/>
      <c r="J33" s="6"/>
      <c r="K33" s="7"/>
    </row>
    <row r="34" spans="1:13">
      <c r="A34" s="44"/>
      <c r="B34" s="43" t="s">
        <v>92</v>
      </c>
      <c r="C34" s="4"/>
      <c r="D34" s="5"/>
      <c r="E34" s="5"/>
      <c r="F34" s="3"/>
      <c r="G34" s="3"/>
      <c r="H34" s="8"/>
      <c r="J34" s="6"/>
      <c r="K34" s="7"/>
    </row>
    <row r="35" spans="1:13" ht="12.75">
      <c r="A35" s="46"/>
      <c r="B35" s="299" t="s">
        <v>91</v>
      </c>
      <c r="C35" s="300"/>
      <c r="D35" s="300"/>
      <c r="E35" s="300"/>
      <c r="F35" s="300"/>
      <c r="G35" s="300"/>
      <c r="H35" s="300"/>
      <c r="I35" s="300"/>
      <c r="J35" s="300"/>
      <c r="K35" s="301"/>
      <c r="L35" s="301"/>
      <c r="M35" s="301"/>
    </row>
    <row r="36" spans="1:13" ht="12.75" customHeight="1">
      <c r="A36" s="49"/>
      <c r="B36" s="302" t="s">
        <v>97</v>
      </c>
      <c r="C36" s="301"/>
      <c r="D36" s="301"/>
      <c r="E36" s="301"/>
      <c r="F36" s="301"/>
      <c r="G36" s="301"/>
      <c r="H36" s="301"/>
      <c r="I36" s="301"/>
      <c r="J36" s="301"/>
      <c r="K36" s="301"/>
      <c r="L36" s="301"/>
      <c r="M36" s="301"/>
    </row>
    <row r="37" spans="1:13" ht="12.75" customHeight="1">
      <c r="A37" s="51"/>
      <c r="B37" s="302" t="s">
        <v>93</v>
      </c>
      <c r="C37" s="301"/>
      <c r="D37" s="301"/>
      <c r="E37" s="301"/>
      <c r="F37" s="301"/>
      <c r="G37" s="301"/>
      <c r="H37" s="301"/>
      <c r="I37" s="6"/>
      <c r="J37" s="6"/>
      <c r="K37" s="7"/>
    </row>
    <row r="38" spans="1:13">
      <c r="B38" s="2"/>
      <c r="C38" s="4"/>
      <c r="D38" s="5"/>
      <c r="E38" s="5"/>
      <c r="F38" s="3"/>
      <c r="G38" s="3"/>
      <c r="H38" s="8"/>
      <c r="J38" s="6"/>
      <c r="K38" s="7"/>
    </row>
    <row r="39" spans="1:13" ht="18">
      <c r="A39" s="303" t="s">
        <v>118</v>
      </c>
      <c r="B39" s="304"/>
      <c r="C39" s="304"/>
      <c r="D39" s="304"/>
      <c r="E39" s="304"/>
      <c r="F39" s="304"/>
      <c r="G39" s="304"/>
      <c r="H39" s="304"/>
      <c r="I39" s="304"/>
      <c r="J39" s="305"/>
      <c r="K39"/>
    </row>
    <row r="40" spans="1:13" ht="33.75">
      <c r="A40" s="31" t="s">
        <v>20</v>
      </c>
      <c r="B40" s="31" t="s">
        <v>62</v>
      </c>
      <c r="C40" s="31" t="s">
        <v>63</v>
      </c>
      <c r="D40" s="31" t="s">
        <v>64</v>
      </c>
      <c r="E40" s="31" t="s">
        <v>65</v>
      </c>
      <c r="F40" s="31" t="s">
        <v>66</v>
      </c>
      <c r="G40" s="31" t="s">
        <v>67</v>
      </c>
      <c r="H40" s="31" t="s">
        <v>68</v>
      </c>
      <c r="I40" s="31" t="s">
        <v>99</v>
      </c>
      <c r="J40" s="31" t="s">
        <v>81</v>
      </c>
      <c r="K40"/>
    </row>
    <row r="41" spans="1:13" ht="12.75">
      <c r="A41" s="9">
        <v>67561</v>
      </c>
      <c r="B41" s="10" t="s">
        <v>17</v>
      </c>
      <c r="C41" s="11"/>
      <c r="D41" s="12"/>
      <c r="E41" s="12"/>
      <c r="F41" s="13"/>
      <c r="G41" s="13"/>
      <c r="H41" s="14"/>
      <c r="I41" s="15"/>
      <c r="J41" s="15"/>
      <c r="K41"/>
    </row>
    <row r="42" spans="1:13" ht="12.75">
      <c r="A42" s="9">
        <v>71432</v>
      </c>
      <c r="B42" s="17" t="s">
        <v>6</v>
      </c>
      <c r="C42" s="11"/>
      <c r="D42" s="12"/>
      <c r="E42" s="12"/>
      <c r="F42" s="13"/>
      <c r="G42" s="13"/>
      <c r="H42" s="14"/>
      <c r="I42" s="18"/>
      <c r="J42" s="15"/>
      <c r="K42"/>
    </row>
    <row r="43" spans="1:13" ht="12.75">
      <c r="A43" s="9">
        <v>75150</v>
      </c>
      <c r="B43" s="17" t="s">
        <v>13</v>
      </c>
      <c r="C43" s="11"/>
      <c r="D43" s="12"/>
      <c r="E43" s="12"/>
      <c r="F43" s="13"/>
      <c r="G43" s="13"/>
      <c r="H43" s="14"/>
      <c r="I43" s="18"/>
      <c r="J43" s="15"/>
      <c r="K43"/>
    </row>
    <row r="44" spans="1:13" ht="12.75">
      <c r="A44" s="9">
        <v>78933</v>
      </c>
      <c r="B44" s="10" t="s">
        <v>69</v>
      </c>
      <c r="C44" s="11"/>
      <c r="D44" s="12"/>
      <c r="E44" s="12"/>
      <c r="F44" s="13"/>
      <c r="G44" s="13"/>
      <c r="H44" s="14"/>
      <c r="I44" s="15"/>
      <c r="J44" s="15"/>
      <c r="K44"/>
    </row>
    <row r="45" spans="1:13" ht="12.75">
      <c r="A45" s="9">
        <v>91203</v>
      </c>
      <c r="B45" s="17" t="s">
        <v>9</v>
      </c>
      <c r="C45" s="11"/>
      <c r="D45" s="12"/>
      <c r="E45" s="12"/>
      <c r="F45" s="13"/>
      <c r="G45" s="13"/>
      <c r="H45" s="14"/>
      <c r="I45" s="15"/>
      <c r="J45" s="15"/>
      <c r="K45"/>
    </row>
    <row r="46" spans="1:13" ht="12.75">
      <c r="A46" s="9">
        <v>98828</v>
      </c>
      <c r="B46" s="19" t="s">
        <v>7</v>
      </c>
      <c r="C46" s="20"/>
      <c r="D46" s="21"/>
      <c r="E46" s="12"/>
      <c r="F46" s="13"/>
      <c r="G46" s="13"/>
      <c r="H46" s="14"/>
      <c r="I46" s="18"/>
      <c r="J46" s="15"/>
      <c r="K46"/>
    </row>
    <row r="47" spans="1:13" ht="12.75">
      <c r="A47" s="9">
        <v>100414</v>
      </c>
      <c r="B47" s="17" t="s">
        <v>8</v>
      </c>
      <c r="C47" s="11"/>
      <c r="D47" s="12"/>
      <c r="E47" s="12"/>
      <c r="F47" s="13"/>
      <c r="G47" s="13"/>
      <c r="H47" s="14"/>
      <c r="I47" s="18"/>
      <c r="J47" s="15"/>
      <c r="K47"/>
    </row>
    <row r="48" spans="1:13" ht="12.75">
      <c r="A48" s="9">
        <v>100425</v>
      </c>
      <c r="B48" s="17" t="s">
        <v>11</v>
      </c>
      <c r="C48" s="11"/>
      <c r="D48" s="12"/>
      <c r="E48" s="12"/>
      <c r="F48" s="13"/>
      <c r="G48" s="13"/>
      <c r="H48" s="14"/>
      <c r="I48" s="15"/>
      <c r="J48" s="15"/>
      <c r="K48"/>
    </row>
    <row r="49" spans="1:11" ht="12.75">
      <c r="A49" s="9">
        <v>106990</v>
      </c>
      <c r="B49" s="19" t="s">
        <v>70</v>
      </c>
      <c r="C49" s="32"/>
      <c r="D49" s="33"/>
      <c r="E49" s="33"/>
      <c r="F49" s="34"/>
      <c r="G49" s="34"/>
      <c r="H49" s="35"/>
      <c r="I49" s="36"/>
      <c r="J49" s="15"/>
      <c r="K49"/>
    </row>
    <row r="50" spans="1:11" ht="12.75">
      <c r="A50" s="9">
        <v>107211</v>
      </c>
      <c r="B50" s="19" t="s">
        <v>16</v>
      </c>
      <c r="C50" s="32"/>
      <c r="D50" s="33"/>
      <c r="E50" s="33"/>
      <c r="F50" s="34"/>
      <c r="G50" s="34"/>
      <c r="H50" s="35"/>
      <c r="I50" s="36"/>
      <c r="J50" s="15"/>
      <c r="K50"/>
    </row>
    <row r="51" spans="1:11" ht="12.75">
      <c r="A51" s="9">
        <v>108101</v>
      </c>
      <c r="B51" s="10" t="s">
        <v>71</v>
      </c>
      <c r="C51" s="32"/>
      <c r="D51" s="33"/>
      <c r="E51" s="33"/>
      <c r="F51" s="34"/>
      <c r="G51" s="34"/>
      <c r="H51" s="35"/>
      <c r="I51" s="37"/>
      <c r="J51" s="15"/>
      <c r="K51"/>
    </row>
    <row r="52" spans="1:11" ht="12.75">
      <c r="A52" s="9">
        <v>108883</v>
      </c>
      <c r="B52" s="17" t="s">
        <v>12</v>
      </c>
      <c r="C52" s="32"/>
      <c r="D52" s="33"/>
      <c r="E52" s="33"/>
      <c r="F52" s="34"/>
      <c r="G52" s="34"/>
      <c r="H52" s="35"/>
      <c r="I52" s="37"/>
      <c r="J52" s="15"/>
      <c r="K52"/>
    </row>
    <row r="53" spans="1:11" ht="12.75">
      <c r="A53" s="9">
        <v>108952</v>
      </c>
      <c r="B53" s="17" t="s">
        <v>10</v>
      </c>
      <c r="C53" s="32"/>
      <c r="D53" s="33"/>
      <c r="E53" s="33"/>
      <c r="F53" s="34"/>
      <c r="G53" s="34"/>
      <c r="H53" s="35"/>
      <c r="I53" s="37"/>
      <c r="J53" s="15"/>
      <c r="K53"/>
    </row>
    <row r="54" spans="1:11" ht="12.75">
      <c r="A54" s="9">
        <v>110543</v>
      </c>
      <c r="B54" s="19" t="s">
        <v>72</v>
      </c>
      <c r="C54" s="32"/>
      <c r="D54" s="33"/>
      <c r="E54" s="33"/>
      <c r="F54" s="34"/>
      <c r="G54" s="34"/>
      <c r="H54" s="35"/>
      <c r="I54" s="37"/>
      <c r="J54" s="15"/>
      <c r="K54"/>
    </row>
    <row r="55" spans="1:11" ht="12.75">
      <c r="A55" s="9">
        <v>1319773</v>
      </c>
      <c r="B55" s="19" t="s">
        <v>73</v>
      </c>
      <c r="C55" s="32"/>
      <c r="D55" s="33"/>
      <c r="E55" s="33"/>
      <c r="F55" s="34"/>
      <c r="G55" s="34"/>
      <c r="H55" s="35"/>
      <c r="I55" s="36"/>
      <c r="J55" s="15"/>
      <c r="K55"/>
    </row>
    <row r="56" spans="1:11" ht="12.75">
      <c r="A56" s="9">
        <v>1330207</v>
      </c>
      <c r="B56" s="26" t="s">
        <v>74</v>
      </c>
      <c r="C56" s="32"/>
      <c r="D56" s="33"/>
      <c r="E56" s="33"/>
      <c r="F56" s="34"/>
      <c r="G56" s="34"/>
      <c r="H56" s="35"/>
      <c r="I56" s="37"/>
      <c r="J56" s="15"/>
      <c r="K56"/>
    </row>
    <row r="57" spans="1:11" ht="12.75">
      <c r="A57" s="9">
        <v>1634044</v>
      </c>
      <c r="B57" s="19" t="s">
        <v>75</v>
      </c>
      <c r="C57" s="32"/>
      <c r="D57" s="33"/>
      <c r="E57" s="33"/>
      <c r="F57" s="34"/>
      <c r="G57" s="34"/>
      <c r="H57" s="38"/>
      <c r="I57" s="37"/>
      <c r="J57" s="15"/>
      <c r="K57"/>
    </row>
    <row r="58" spans="1:11" ht="12.75">
      <c r="A58" s="9">
        <v>92524</v>
      </c>
      <c r="B58" s="26" t="s">
        <v>78</v>
      </c>
      <c r="C58" s="39"/>
      <c r="D58" s="33"/>
      <c r="E58" s="33"/>
      <c r="F58" s="34"/>
      <c r="G58" s="34"/>
      <c r="H58" s="40"/>
      <c r="I58" s="35"/>
      <c r="J58" s="15"/>
      <c r="K58"/>
    </row>
    <row r="59" spans="1:11" ht="12.75">
      <c r="A59" s="9">
        <v>463581</v>
      </c>
      <c r="B59" s="9" t="s">
        <v>14</v>
      </c>
      <c r="C59" s="35"/>
      <c r="D59" s="35"/>
      <c r="E59" s="35"/>
      <c r="F59" s="35"/>
      <c r="G59" s="34"/>
      <c r="H59" s="40"/>
      <c r="I59" s="35"/>
      <c r="J59" s="15"/>
      <c r="K59"/>
    </row>
    <row r="60" spans="1:11" ht="12.75">
      <c r="A60" s="9">
        <v>107062</v>
      </c>
      <c r="B60" s="9" t="s">
        <v>79</v>
      </c>
      <c r="C60" s="14"/>
      <c r="D60" s="14"/>
      <c r="E60" s="14"/>
      <c r="F60" s="14"/>
      <c r="G60" s="13"/>
      <c r="H60" s="29"/>
      <c r="I60" s="14"/>
      <c r="J60" s="15"/>
      <c r="K60"/>
    </row>
    <row r="61" spans="1:11" ht="12.75">
      <c r="A61" s="30">
        <v>111422</v>
      </c>
      <c r="B61" s="9" t="s">
        <v>15</v>
      </c>
      <c r="C61" s="14"/>
      <c r="D61" s="14"/>
      <c r="E61" s="14"/>
      <c r="F61" s="14"/>
      <c r="G61" s="13"/>
      <c r="H61" s="29"/>
      <c r="I61" s="14"/>
      <c r="J61" s="15"/>
      <c r="K61"/>
    </row>
    <row r="62" spans="1:11" ht="12.75">
      <c r="A62" s="30">
        <v>540841</v>
      </c>
      <c r="B62" s="9" t="s">
        <v>80</v>
      </c>
      <c r="C62" s="14"/>
      <c r="D62" s="14"/>
      <c r="E62" s="14"/>
      <c r="F62" s="14"/>
      <c r="G62" s="13"/>
      <c r="H62" s="29"/>
      <c r="I62" s="14"/>
      <c r="J62" s="15"/>
      <c r="K62"/>
    </row>
    <row r="63" spans="1:11" ht="12.75">
      <c r="A63" s="9"/>
      <c r="B63" s="9" t="s">
        <v>59</v>
      </c>
      <c r="C63" s="9"/>
      <c r="D63" s="9"/>
      <c r="E63" s="9"/>
      <c r="F63" s="174"/>
      <c r="G63" s="9"/>
      <c r="H63" s="9"/>
      <c r="I63" s="174"/>
      <c r="J63" s="9"/>
      <c r="K63"/>
    </row>
    <row r="64" spans="1:11" ht="12.75">
      <c r="A64" s="9"/>
      <c r="B64" s="9" t="s">
        <v>60</v>
      </c>
      <c r="C64" s="9"/>
      <c r="D64" s="9"/>
      <c r="E64" s="9"/>
      <c r="F64" s="174"/>
      <c r="G64" s="9"/>
      <c r="H64" s="9"/>
      <c r="I64" s="174"/>
      <c r="J64" s="9"/>
      <c r="K64"/>
    </row>
    <row r="65" spans="1:11" ht="12.75">
      <c r="A65" s="9"/>
      <c r="B65" s="9" t="s">
        <v>61</v>
      </c>
      <c r="C65" s="9"/>
      <c r="D65" s="9"/>
      <c r="E65" s="9"/>
      <c r="F65" s="174"/>
      <c r="G65" s="9"/>
      <c r="H65" s="9"/>
      <c r="I65" s="174"/>
      <c r="J65" s="9"/>
      <c r="K65"/>
    </row>
    <row r="66" spans="1:11" ht="12.75">
      <c r="A66" s="9">
        <v>106978</v>
      </c>
      <c r="B66" s="9" t="s">
        <v>256</v>
      </c>
      <c r="C66" s="9"/>
      <c r="D66" s="9"/>
      <c r="E66" s="9"/>
      <c r="F66" s="9"/>
      <c r="G66" s="9"/>
      <c r="H66" s="9"/>
      <c r="I66" s="9"/>
      <c r="J66" s="9"/>
      <c r="K66"/>
    </row>
    <row r="67" spans="1:11" ht="12.75">
      <c r="K67"/>
    </row>
    <row r="68" spans="1:11" ht="12.75">
      <c r="A68" s="262"/>
      <c r="B68" s="262"/>
      <c r="C68" s="262"/>
      <c r="D68" s="262"/>
      <c r="E68" s="262"/>
      <c r="F68" s="262"/>
      <c r="G68" s="262"/>
      <c r="H68" s="262"/>
      <c r="I68" s="262"/>
      <c r="J68" s="262"/>
      <c r="K68"/>
    </row>
    <row r="69" spans="1:11" ht="12.75">
      <c r="K69"/>
    </row>
    <row r="70" spans="1:11">
      <c r="A70" s="1" t="s">
        <v>95</v>
      </c>
    </row>
    <row r="71" spans="1:11">
      <c r="A71" s="1" t="s">
        <v>96</v>
      </c>
    </row>
    <row r="72" spans="1:11">
      <c r="A72" s="1" t="s">
        <v>98</v>
      </c>
    </row>
    <row r="74" spans="1:11">
      <c r="A74" s="234"/>
      <c r="B74" s="234"/>
      <c r="C74" s="234"/>
      <c r="D74" s="234"/>
      <c r="E74" s="235"/>
      <c r="F74" s="234"/>
      <c r="G74" s="234"/>
      <c r="H74" s="234"/>
      <c r="I74" s="234"/>
      <c r="J74" s="234"/>
      <c r="K74" s="234"/>
    </row>
    <row r="75" spans="1:11" ht="20.25">
      <c r="A75" s="298"/>
      <c r="B75" s="298"/>
      <c r="C75" s="298"/>
      <c r="D75" s="298"/>
      <c r="E75" s="298"/>
      <c r="F75" s="298"/>
      <c r="G75" s="298"/>
      <c r="H75" s="298"/>
      <c r="I75" s="298"/>
      <c r="J75" s="298"/>
      <c r="K75" s="298"/>
    </row>
    <row r="76" spans="1:11">
      <c r="A76" s="236"/>
      <c r="B76" s="236"/>
      <c r="C76" s="236"/>
      <c r="D76" s="236"/>
      <c r="E76" s="236"/>
      <c r="F76" s="236"/>
      <c r="G76" s="236"/>
      <c r="H76" s="236"/>
      <c r="I76" s="236"/>
      <c r="J76" s="236"/>
      <c r="K76" s="236"/>
    </row>
    <row r="77" spans="1:11">
      <c r="A77" s="234"/>
      <c r="B77" s="237"/>
      <c r="C77" s="238"/>
      <c r="D77" s="239"/>
      <c r="E77" s="239"/>
      <c r="F77" s="240"/>
      <c r="G77" s="240"/>
      <c r="H77" s="241"/>
      <c r="I77" s="242"/>
      <c r="J77" s="242"/>
      <c r="K77" s="241"/>
    </row>
    <row r="78" spans="1:11">
      <c r="A78" s="234"/>
      <c r="B78" s="243"/>
      <c r="C78" s="238"/>
      <c r="D78" s="239"/>
      <c r="E78" s="239"/>
      <c r="F78" s="240"/>
      <c r="G78" s="240"/>
      <c r="H78" s="241"/>
      <c r="I78" s="244"/>
      <c r="J78" s="242"/>
      <c r="K78" s="241"/>
    </row>
    <row r="79" spans="1:11">
      <c r="A79" s="234"/>
      <c r="B79" s="243"/>
      <c r="C79" s="238"/>
      <c r="D79" s="239"/>
      <c r="E79" s="239"/>
      <c r="F79" s="240"/>
      <c r="G79" s="240"/>
      <c r="H79" s="241"/>
      <c r="I79" s="244"/>
      <c r="J79" s="242"/>
      <c r="K79" s="241"/>
    </row>
    <row r="80" spans="1:11">
      <c r="A80" s="234"/>
      <c r="B80" s="237"/>
      <c r="C80" s="238"/>
      <c r="D80" s="239"/>
      <c r="E80" s="239"/>
      <c r="F80" s="240"/>
      <c r="G80" s="240"/>
      <c r="H80" s="241"/>
      <c r="I80" s="242"/>
      <c r="J80" s="242"/>
      <c r="K80" s="241"/>
    </row>
    <row r="81" spans="1:11">
      <c r="A81" s="234"/>
      <c r="B81" s="243"/>
      <c r="C81" s="238"/>
      <c r="D81" s="239"/>
      <c r="E81" s="239"/>
      <c r="F81" s="240"/>
      <c r="G81" s="240"/>
      <c r="H81" s="241"/>
      <c r="I81" s="242"/>
      <c r="J81" s="242"/>
      <c r="K81" s="241"/>
    </row>
    <row r="82" spans="1:11">
      <c r="A82" s="234"/>
      <c r="B82" s="245"/>
      <c r="C82" s="246"/>
      <c r="D82" s="247"/>
      <c r="E82" s="239"/>
      <c r="F82" s="240"/>
      <c r="G82" s="240"/>
      <c r="H82" s="241"/>
      <c r="I82" s="244"/>
      <c r="J82" s="242"/>
      <c r="K82" s="241"/>
    </row>
    <row r="83" spans="1:11">
      <c r="A83" s="234"/>
      <c r="B83" s="243"/>
      <c r="C83" s="238"/>
      <c r="D83" s="239"/>
      <c r="E83" s="239"/>
      <c r="F83" s="240"/>
      <c r="G83" s="240"/>
      <c r="H83" s="241"/>
      <c r="I83" s="244"/>
      <c r="J83" s="242"/>
      <c r="K83" s="241"/>
    </row>
    <row r="84" spans="1:11">
      <c r="A84" s="234"/>
      <c r="B84" s="243"/>
      <c r="C84" s="238"/>
      <c r="D84" s="239"/>
      <c r="E84" s="239"/>
      <c r="F84" s="240"/>
      <c r="G84" s="240"/>
      <c r="H84" s="241"/>
      <c r="I84" s="242"/>
      <c r="J84" s="242"/>
      <c r="K84" s="241"/>
    </row>
    <row r="85" spans="1:11">
      <c r="A85" s="234"/>
      <c r="B85" s="245"/>
      <c r="C85" s="238"/>
      <c r="D85" s="239"/>
      <c r="E85" s="239"/>
      <c r="F85" s="240"/>
      <c r="G85" s="240"/>
      <c r="H85" s="241"/>
      <c r="I85" s="244"/>
      <c r="J85" s="242"/>
      <c r="K85" s="241"/>
    </row>
    <row r="86" spans="1:11">
      <c r="A86" s="234"/>
      <c r="B86" s="245"/>
      <c r="C86" s="238"/>
      <c r="D86" s="239"/>
      <c r="E86" s="239"/>
      <c r="F86" s="240"/>
      <c r="G86" s="240"/>
      <c r="H86" s="241"/>
      <c r="I86" s="244"/>
      <c r="J86" s="242"/>
      <c r="K86" s="241"/>
    </row>
    <row r="87" spans="1:11">
      <c r="A87" s="234"/>
      <c r="B87" s="237"/>
      <c r="C87" s="238"/>
      <c r="D87" s="239"/>
      <c r="E87" s="239"/>
      <c r="F87" s="240"/>
      <c r="G87" s="240"/>
      <c r="H87" s="241"/>
      <c r="I87" s="242"/>
      <c r="J87" s="242"/>
      <c r="K87" s="241"/>
    </row>
    <row r="88" spans="1:11">
      <c r="A88" s="234"/>
      <c r="B88" s="243"/>
      <c r="C88" s="238"/>
      <c r="D88" s="239"/>
      <c r="E88" s="239"/>
      <c r="F88" s="240"/>
      <c r="G88" s="240"/>
      <c r="H88" s="241"/>
      <c r="I88" s="242"/>
      <c r="J88" s="242"/>
      <c r="K88" s="241"/>
    </row>
    <row r="89" spans="1:11">
      <c r="A89" s="234"/>
      <c r="B89" s="243"/>
      <c r="C89" s="238"/>
      <c r="D89" s="239"/>
      <c r="E89" s="239"/>
      <c r="F89" s="240"/>
      <c r="G89" s="240"/>
      <c r="H89" s="241"/>
      <c r="I89" s="242"/>
      <c r="J89" s="242"/>
      <c r="K89" s="241"/>
    </row>
    <row r="90" spans="1:11">
      <c r="A90" s="234"/>
      <c r="B90" s="245"/>
      <c r="C90" s="238"/>
      <c r="D90" s="239"/>
      <c r="E90" s="239"/>
      <c r="F90" s="240"/>
      <c r="G90" s="240"/>
      <c r="H90" s="241"/>
      <c r="I90" s="242"/>
      <c r="J90" s="242"/>
      <c r="K90" s="241"/>
    </row>
    <row r="91" spans="1:11">
      <c r="A91" s="234"/>
      <c r="B91" s="245"/>
      <c r="C91" s="238"/>
      <c r="D91" s="239"/>
      <c r="E91" s="239"/>
      <c r="F91" s="240"/>
      <c r="G91" s="240"/>
      <c r="H91" s="241"/>
      <c r="I91" s="244"/>
      <c r="J91" s="242"/>
      <c r="K91" s="241"/>
    </row>
    <row r="92" spans="1:11">
      <c r="A92" s="234"/>
      <c r="B92" s="248"/>
      <c r="C92" s="238"/>
      <c r="D92" s="239"/>
      <c r="E92" s="239"/>
      <c r="F92" s="240"/>
      <c r="G92" s="240"/>
      <c r="H92" s="241"/>
      <c r="I92" s="242"/>
      <c r="J92" s="242"/>
      <c r="K92" s="241"/>
    </row>
    <row r="93" spans="1:11">
      <c r="A93" s="234"/>
      <c r="B93" s="245"/>
      <c r="C93" s="238"/>
      <c r="D93" s="239"/>
      <c r="E93" s="239"/>
      <c r="F93" s="240"/>
      <c r="G93" s="240"/>
      <c r="H93" s="249"/>
      <c r="I93" s="242"/>
      <c r="J93" s="242"/>
      <c r="K93" s="241"/>
    </row>
    <row r="94" spans="1:11">
      <c r="A94" s="234"/>
      <c r="B94" s="248"/>
      <c r="C94" s="250"/>
      <c r="D94" s="239"/>
      <c r="E94" s="239"/>
      <c r="F94" s="240"/>
      <c r="G94" s="240"/>
      <c r="H94" s="251"/>
      <c r="I94" s="241"/>
      <c r="J94" s="242"/>
      <c r="K94" s="241"/>
    </row>
    <row r="95" spans="1:11">
      <c r="A95" s="234"/>
      <c r="B95" s="234"/>
      <c r="C95" s="241"/>
      <c r="D95" s="241"/>
      <c r="E95" s="241"/>
      <c r="F95" s="239"/>
      <c r="G95" s="240"/>
      <c r="H95" s="251"/>
      <c r="I95" s="241"/>
      <c r="J95" s="242"/>
      <c r="K95" s="241"/>
    </row>
    <row r="96" spans="1:11">
      <c r="A96" s="234"/>
      <c r="B96" s="234"/>
      <c r="C96" s="241"/>
      <c r="D96" s="241"/>
      <c r="E96" s="241"/>
      <c r="F96" s="239"/>
      <c r="G96" s="240"/>
      <c r="H96" s="251"/>
      <c r="I96" s="241"/>
      <c r="J96" s="242"/>
      <c r="K96" s="241"/>
    </row>
    <row r="97" spans="1:11">
      <c r="A97" s="234"/>
      <c r="B97" s="234"/>
      <c r="C97" s="241"/>
      <c r="D97" s="239"/>
      <c r="E97" s="239"/>
      <c r="F97" s="239"/>
      <c r="G97" s="240"/>
      <c r="H97" s="251"/>
      <c r="I97" s="241"/>
      <c r="J97" s="242"/>
      <c r="K97" s="241"/>
    </row>
    <row r="98" spans="1:11">
      <c r="A98" s="234"/>
      <c r="B98" s="234"/>
      <c r="C98" s="241"/>
      <c r="D98" s="241"/>
      <c r="E98" s="241"/>
      <c r="F98" s="239"/>
      <c r="G98" s="240"/>
      <c r="H98" s="251"/>
      <c r="I98" s="241"/>
      <c r="J98" s="242"/>
      <c r="K98" s="241"/>
    </row>
    <row r="99" spans="1:11">
      <c r="A99" s="234"/>
      <c r="B99" s="234"/>
      <c r="C99" s="241"/>
      <c r="D99" s="241"/>
      <c r="E99" s="241"/>
      <c r="F99" s="239"/>
      <c r="G99" s="240"/>
      <c r="H99" s="251"/>
      <c r="I99" s="241"/>
      <c r="J99" s="242"/>
      <c r="K99" s="241"/>
    </row>
    <row r="100" spans="1:11">
      <c r="A100" s="234"/>
      <c r="B100" s="234"/>
      <c r="C100" s="241"/>
      <c r="D100" s="241"/>
      <c r="E100" s="241"/>
      <c r="F100" s="239"/>
      <c r="G100" s="241"/>
      <c r="H100" s="241"/>
      <c r="I100" s="239"/>
      <c r="J100" s="241"/>
      <c r="K100" s="239"/>
    </row>
    <row r="101" spans="1:11">
      <c r="A101" s="234"/>
      <c r="B101" s="234"/>
      <c r="C101" s="241"/>
      <c r="D101" s="241"/>
      <c r="E101" s="241"/>
      <c r="F101" s="239"/>
      <c r="G101" s="241"/>
      <c r="H101" s="241"/>
      <c r="I101" s="239"/>
      <c r="J101" s="241"/>
      <c r="K101" s="239"/>
    </row>
    <row r="102" spans="1:11">
      <c r="A102" s="234"/>
      <c r="B102" s="234"/>
      <c r="C102" s="241"/>
      <c r="D102" s="241"/>
      <c r="E102" s="241"/>
      <c r="F102" s="239"/>
      <c r="G102" s="241"/>
      <c r="H102" s="241"/>
      <c r="I102" s="239"/>
      <c r="J102" s="241"/>
      <c r="K102" s="239"/>
    </row>
    <row r="103" spans="1:11">
      <c r="A103" s="234"/>
      <c r="B103" s="234"/>
      <c r="C103" s="241"/>
      <c r="D103" s="241"/>
      <c r="E103" s="241"/>
      <c r="F103" s="239"/>
      <c r="G103" s="241"/>
      <c r="H103" s="241"/>
      <c r="I103" s="241"/>
      <c r="J103" s="242"/>
      <c r="K103" s="241"/>
    </row>
    <row r="104" spans="1:11">
      <c r="A104" s="234"/>
      <c r="B104" s="234"/>
      <c r="C104" s="241"/>
      <c r="D104" s="241"/>
      <c r="E104" s="241"/>
      <c r="F104" s="239"/>
      <c r="G104" s="241"/>
      <c r="H104" s="241"/>
      <c r="I104" s="241"/>
      <c r="J104" s="242"/>
      <c r="K104" s="241"/>
    </row>
    <row r="105" spans="1:11">
      <c r="A105" s="234"/>
      <c r="B105" s="234"/>
      <c r="C105" s="234"/>
      <c r="D105" s="234"/>
      <c r="E105" s="234"/>
      <c r="F105" s="234"/>
      <c r="G105" s="234"/>
      <c r="H105" s="234"/>
      <c r="I105" s="234"/>
      <c r="J105" s="234"/>
      <c r="K105" s="234"/>
    </row>
    <row r="106" spans="1:11">
      <c r="A106" s="234"/>
      <c r="B106" s="234"/>
      <c r="C106" s="234"/>
      <c r="D106" s="234"/>
      <c r="E106" s="234"/>
      <c r="F106" s="234"/>
      <c r="G106" s="234"/>
      <c r="H106" s="234"/>
      <c r="I106" s="234"/>
      <c r="J106" s="234"/>
      <c r="K106" s="234"/>
    </row>
    <row r="107" spans="1:11">
      <c r="A107" s="234"/>
      <c r="B107" s="234"/>
      <c r="C107" s="234"/>
      <c r="D107" s="234"/>
      <c r="E107" s="234"/>
      <c r="F107" s="234"/>
      <c r="G107" s="234"/>
      <c r="H107" s="234"/>
      <c r="I107" s="234"/>
      <c r="J107" s="234"/>
      <c r="K107" s="234"/>
    </row>
    <row r="108" spans="1:11">
      <c r="A108" s="234"/>
      <c r="B108" s="234"/>
      <c r="C108" s="234"/>
      <c r="D108" s="234"/>
      <c r="E108" s="234"/>
      <c r="F108" s="234"/>
      <c r="G108" s="234"/>
      <c r="H108" s="234"/>
      <c r="I108" s="234"/>
      <c r="J108" s="234"/>
      <c r="K108" s="234"/>
    </row>
    <row r="109" spans="1:11">
      <c r="A109" s="234"/>
      <c r="B109" s="234"/>
      <c r="C109" s="234"/>
      <c r="D109" s="234"/>
      <c r="E109" s="234"/>
      <c r="F109" s="234"/>
      <c r="G109" s="234"/>
      <c r="H109" s="234"/>
      <c r="I109" s="234"/>
      <c r="J109" s="234"/>
      <c r="K109" s="234"/>
    </row>
    <row r="110" spans="1:11">
      <c r="A110" s="236"/>
      <c r="B110" s="236"/>
      <c r="C110" s="236"/>
      <c r="D110" s="236"/>
      <c r="E110" s="236"/>
      <c r="F110" s="236"/>
      <c r="G110" s="236"/>
      <c r="H110" s="236"/>
      <c r="I110" s="234"/>
      <c r="J110" s="234"/>
      <c r="K110" s="234"/>
    </row>
    <row r="111" spans="1:11">
      <c r="A111" s="234"/>
      <c r="B111" s="237"/>
      <c r="C111" s="238"/>
      <c r="D111" s="238"/>
      <c r="E111" s="251"/>
      <c r="F111" s="252"/>
      <c r="G111" s="253"/>
      <c r="H111" s="254"/>
      <c r="I111" s="234"/>
      <c r="J111" s="234"/>
      <c r="K111" s="234"/>
    </row>
    <row r="112" spans="1:11">
      <c r="A112" s="234"/>
      <c r="B112" s="243"/>
      <c r="C112" s="238"/>
      <c r="D112" s="238"/>
      <c r="E112" s="251"/>
      <c r="F112" s="252"/>
      <c r="G112" s="253"/>
      <c r="H112" s="254"/>
      <c r="I112" s="234"/>
      <c r="J112" s="234"/>
      <c r="K112" s="234"/>
    </row>
    <row r="113" spans="1:11">
      <c r="A113" s="234"/>
      <c r="B113" s="243"/>
      <c r="C113" s="238"/>
      <c r="D113" s="238"/>
      <c r="E113" s="251"/>
      <c r="F113" s="252"/>
      <c r="G113" s="253"/>
      <c r="H113" s="254"/>
      <c r="I113" s="234"/>
      <c r="J113" s="234"/>
      <c r="K113" s="234"/>
    </row>
    <row r="114" spans="1:11">
      <c r="A114" s="234"/>
      <c r="B114" s="237"/>
      <c r="C114" s="238"/>
      <c r="D114" s="238"/>
      <c r="E114" s="251"/>
      <c r="F114" s="252"/>
      <c r="G114" s="253"/>
      <c r="H114" s="254"/>
      <c r="I114" s="234"/>
      <c r="J114" s="234"/>
      <c r="K114" s="234"/>
    </row>
    <row r="115" spans="1:11">
      <c r="A115" s="234"/>
      <c r="B115" s="243"/>
      <c r="C115" s="238"/>
      <c r="D115" s="238"/>
      <c r="E115" s="251"/>
      <c r="F115" s="252"/>
      <c r="G115" s="253"/>
      <c r="H115" s="254"/>
      <c r="I115" s="234"/>
      <c r="J115" s="234"/>
      <c r="K115" s="234"/>
    </row>
    <row r="116" spans="1:11">
      <c r="A116" s="234"/>
      <c r="B116" s="245"/>
      <c r="C116" s="246"/>
      <c r="D116" s="246"/>
      <c r="E116" s="251"/>
      <c r="F116" s="252"/>
      <c r="G116" s="253"/>
      <c r="H116" s="254"/>
      <c r="I116" s="234"/>
      <c r="J116" s="234"/>
      <c r="K116" s="234"/>
    </row>
    <row r="117" spans="1:11">
      <c r="A117" s="234"/>
      <c r="B117" s="243"/>
      <c r="C117" s="238"/>
      <c r="D117" s="238"/>
      <c r="E117" s="251"/>
      <c r="F117" s="252"/>
      <c r="G117" s="253"/>
      <c r="H117" s="254"/>
      <c r="I117" s="234"/>
      <c r="J117" s="234"/>
      <c r="K117" s="234"/>
    </row>
    <row r="118" spans="1:11">
      <c r="A118" s="234"/>
      <c r="B118" s="243"/>
      <c r="C118" s="238"/>
      <c r="D118" s="238"/>
      <c r="E118" s="251"/>
      <c r="F118" s="252"/>
      <c r="G118" s="253"/>
      <c r="H118" s="254"/>
      <c r="I118" s="234"/>
      <c r="J118" s="234"/>
      <c r="K118" s="234"/>
    </row>
    <row r="119" spans="1:11">
      <c r="A119" s="234"/>
      <c r="B119" s="245"/>
      <c r="C119" s="238"/>
      <c r="D119" s="238"/>
      <c r="E119" s="251"/>
      <c r="F119" s="252"/>
      <c r="G119" s="253"/>
      <c r="H119" s="254"/>
      <c r="I119" s="234"/>
      <c r="J119" s="234"/>
      <c r="K119" s="234"/>
    </row>
    <row r="120" spans="1:11">
      <c r="A120" s="234"/>
      <c r="B120" s="245"/>
      <c r="C120" s="238"/>
      <c r="D120" s="238"/>
      <c r="E120" s="251"/>
      <c r="F120" s="252"/>
      <c r="G120" s="253"/>
      <c r="H120" s="254"/>
      <c r="I120" s="234"/>
      <c r="J120" s="234"/>
      <c r="K120" s="234"/>
    </row>
    <row r="121" spans="1:11">
      <c r="A121" s="234"/>
      <c r="B121" s="237"/>
      <c r="C121" s="238"/>
      <c r="D121" s="238"/>
      <c r="E121" s="251"/>
      <c r="F121" s="252"/>
      <c r="G121" s="253"/>
      <c r="H121" s="254"/>
      <c r="I121" s="234"/>
      <c r="J121" s="234"/>
      <c r="K121" s="234"/>
    </row>
    <row r="122" spans="1:11">
      <c r="A122" s="234"/>
      <c r="B122" s="243"/>
      <c r="C122" s="238"/>
      <c r="D122" s="238"/>
      <c r="E122" s="251"/>
      <c r="F122" s="252"/>
      <c r="G122" s="253"/>
      <c r="H122" s="254"/>
      <c r="I122" s="234"/>
      <c r="J122" s="234"/>
      <c r="K122" s="234"/>
    </row>
    <row r="123" spans="1:11">
      <c r="A123" s="234"/>
      <c r="B123" s="243"/>
      <c r="C123" s="238"/>
      <c r="D123" s="238"/>
      <c r="E123" s="251"/>
      <c r="F123" s="252"/>
      <c r="G123" s="253"/>
      <c r="H123" s="254"/>
      <c r="I123" s="234"/>
      <c r="J123" s="234"/>
      <c r="K123" s="234"/>
    </row>
    <row r="124" spans="1:11">
      <c r="A124" s="234"/>
      <c r="B124" s="245"/>
      <c r="C124" s="238"/>
      <c r="D124" s="238"/>
      <c r="E124" s="251"/>
      <c r="F124" s="252"/>
      <c r="G124" s="253"/>
      <c r="H124" s="254"/>
      <c r="I124" s="234"/>
      <c r="J124" s="234"/>
      <c r="K124" s="234"/>
    </row>
    <row r="125" spans="1:11">
      <c r="A125" s="234"/>
      <c r="B125" s="245"/>
      <c r="C125" s="238"/>
      <c r="D125" s="238"/>
      <c r="E125" s="251"/>
      <c r="F125" s="252"/>
      <c r="G125" s="253"/>
      <c r="H125" s="254"/>
      <c r="I125" s="234"/>
      <c r="J125" s="234"/>
      <c r="K125" s="234"/>
    </row>
    <row r="126" spans="1:11">
      <c r="A126" s="234"/>
      <c r="B126" s="248"/>
      <c r="C126" s="238"/>
      <c r="D126" s="238"/>
      <c r="E126" s="251"/>
      <c r="F126" s="252"/>
      <c r="G126" s="253"/>
      <c r="H126" s="254"/>
      <c r="I126" s="234"/>
      <c r="J126" s="234"/>
      <c r="K126" s="234"/>
    </row>
    <row r="127" spans="1:11">
      <c r="A127" s="234"/>
      <c r="B127" s="245"/>
      <c r="C127" s="238"/>
      <c r="D127" s="238"/>
      <c r="E127" s="251"/>
      <c r="F127" s="252"/>
      <c r="G127" s="253"/>
      <c r="H127" s="254"/>
      <c r="I127" s="234"/>
      <c r="J127" s="234"/>
      <c r="K127" s="234"/>
    </row>
    <row r="128" spans="1:11">
      <c r="A128" s="234"/>
      <c r="B128" s="248"/>
      <c r="C128" s="250"/>
      <c r="D128" s="250"/>
      <c r="E128" s="251"/>
      <c r="F128" s="252"/>
      <c r="G128" s="253"/>
      <c r="H128" s="254"/>
      <c r="I128" s="234"/>
      <c r="J128" s="234"/>
      <c r="K128" s="234"/>
    </row>
    <row r="129" spans="1:11">
      <c r="A129" s="234"/>
      <c r="B129" s="234"/>
      <c r="C129" s="241"/>
      <c r="D129" s="241"/>
      <c r="E129" s="251"/>
      <c r="F129" s="252"/>
      <c r="G129" s="253"/>
      <c r="H129" s="254"/>
      <c r="I129" s="234"/>
      <c r="J129" s="234"/>
      <c r="K129" s="234"/>
    </row>
    <row r="130" spans="1:11">
      <c r="A130" s="234"/>
      <c r="B130" s="234"/>
      <c r="C130" s="241"/>
      <c r="D130" s="241"/>
      <c r="E130" s="251"/>
      <c r="F130" s="252"/>
      <c r="G130" s="253"/>
      <c r="H130" s="254"/>
      <c r="I130" s="234"/>
      <c r="J130" s="234"/>
      <c r="K130" s="234"/>
    </row>
    <row r="131" spans="1:11">
      <c r="A131" s="234"/>
      <c r="B131" s="234"/>
      <c r="C131" s="241"/>
      <c r="D131" s="241"/>
      <c r="E131" s="251"/>
      <c r="F131" s="252"/>
      <c r="G131" s="253"/>
      <c r="H131" s="254"/>
      <c r="I131" s="234"/>
      <c r="J131" s="234"/>
      <c r="K131" s="234"/>
    </row>
    <row r="132" spans="1:11">
      <c r="A132" s="234"/>
      <c r="B132" s="234"/>
      <c r="C132" s="241"/>
      <c r="D132" s="241"/>
      <c r="E132" s="251"/>
      <c r="F132" s="252"/>
      <c r="G132" s="253"/>
      <c r="H132" s="254"/>
      <c r="I132" s="234"/>
      <c r="J132" s="234"/>
      <c r="K132" s="234"/>
    </row>
    <row r="133" spans="1:11">
      <c r="A133" s="234"/>
      <c r="B133" s="234"/>
      <c r="C133" s="241"/>
      <c r="D133" s="241"/>
      <c r="E133" s="251"/>
      <c r="F133" s="252"/>
      <c r="G133" s="253"/>
      <c r="H133" s="254"/>
      <c r="I133" s="234"/>
      <c r="J133" s="234"/>
      <c r="K133" s="234"/>
    </row>
    <row r="134" spans="1:11">
      <c r="A134" s="234"/>
      <c r="B134" s="234"/>
      <c r="C134" s="241"/>
      <c r="D134" s="241"/>
      <c r="E134" s="251"/>
      <c r="F134" s="252"/>
      <c r="G134" s="253"/>
      <c r="H134" s="254"/>
      <c r="I134" s="234"/>
      <c r="J134" s="234"/>
      <c r="K134" s="234"/>
    </row>
    <row r="135" spans="1:11">
      <c r="A135" s="234"/>
      <c r="B135" s="234"/>
      <c r="C135" s="241"/>
      <c r="D135" s="241"/>
      <c r="E135" s="251"/>
      <c r="F135" s="252"/>
      <c r="G135" s="253"/>
      <c r="H135" s="254"/>
      <c r="I135" s="234"/>
      <c r="J135" s="234"/>
      <c r="K135" s="234"/>
    </row>
    <row r="136" spans="1:11">
      <c r="A136" s="234"/>
      <c r="B136" s="234"/>
      <c r="C136" s="241"/>
      <c r="D136" s="241"/>
      <c r="E136" s="251"/>
      <c r="F136" s="252"/>
      <c r="G136" s="253"/>
      <c r="H136" s="254"/>
      <c r="I136" s="234"/>
      <c r="J136" s="234"/>
      <c r="K136" s="234"/>
    </row>
    <row r="137" spans="1:11">
      <c r="A137" s="234"/>
      <c r="B137" s="234"/>
      <c r="C137" s="241"/>
      <c r="D137" s="241"/>
      <c r="E137" s="251"/>
      <c r="F137" s="252"/>
      <c r="G137" s="253"/>
      <c r="H137" s="254"/>
      <c r="I137" s="234"/>
      <c r="J137" s="234"/>
      <c r="K137" s="234"/>
    </row>
    <row r="138" spans="1:11">
      <c r="A138" s="234"/>
      <c r="B138" s="234"/>
      <c r="C138" s="241"/>
      <c r="D138" s="241"/>
      <c r="E138" s="251"/>
      <c r="F138" s="252"/>
      <c r="G138" s="253"/>
      <c r="H138" s="254"/>
      <c r="I138" s="234"/>
      <c r="J138" s="234"/>
      <c r="K138" s="234"/>
    </row>
  </sheetData>
  <mergeCells count="6">
    <mergeCell ref="A75:K75"/>
    <mergeCell ref="B35:M35"/>
    <mergeCell ref="B36:M36"/>
    <mergeCell ref="B37:H37"/>
    <mergeCell ref="A2:J2"/>
    <mergeCell ref="A39:J39"/>
  </mergeCells>
  <phoneticPr fontId="5" type="noConversion"/>
  <pageMargins left="0.75" right="0.75" top="1" bottom="1" header="0.5" footer="0.5"/>
  <pageSetup scale="39" orientation="portrait" r:id="rId1"/>
  <headerFooter alignWithMargins="0"/>
</worksheet>
</file>

<file path=xl/worksheets/sheet2.xml><?xml version="1.0" encoding="utf-8"?>
<worksheet xmlns="http://schemas.openxmlformats.org/spreadsheetml/2006/main" xmlns:r="http://schemas.openxmlformats.org/officeDocument/2006/relationships">
  <sheetPr>
    <tabColor rgb="FFC00000"/>
    <pageSetUpPr fitToPage="1"/>
  </sheetPr>
  <dimension ref="A1:G34"/>
  <sheetViews>
    <sheetView workbookViewId="0">
      <selection activeCell="B3" sqref="B3"/>
    </sheetView>
  </sheetViews>
  <sheetFormatPr defaultRowHeight="12.75"/>
  <cols>
    <col min="1" max="1" width="43.5703125" style="54" customWidth="1"/>
    <col min="2" max="2" width="9.140625" style="54"/>
    <col min="3" max="3" width="18.7109375" style="54" customWidth="1"/>
    <col min="4" max="4" width="3.85546875" style="54" customWidth="1"/>
    <col min="5" max="5" width="44" style="54" customWidth="1"/>
    <col min="6" max="16384" width="9.140625" style="54"/>
  </cols>
  <sheetData>
    <row r="1" spans="1:7" ht="81.75" customHeight="1">
      <c r="A1" s="285" t="s">
        <v>263</v>
      </c>
      <c r="B1" s="285"/>
      <c r="C1" s="285"/>
      <c r="D1" s="57"/>
      <c r="E1" s="57"/>
      <c r="F1" s="57"/>
      <c r="G1" s="57"/>
    </row>
    <row r="2" spans="1:7">
      <c r="A2" s="68" t="s">
        <v>101</v>
      </c>
      <c r="B2" s="68" t="s">
        <v>4</v>
      </c>
      <c r="C2" s="68" t="s">
        <v>5</v>
      </c>
      <c r="D2" s="58"/>
      <c r="E2" s="57"/>
      <c r="F2" s="57"/>
      <c r="G2" s="57"/>
    </row>
    <row r="3" spans="1:7" ht="14.25">
      <c r="A3" s="56" t="s">
        <v>128</v>
      </c>
      <c r="B3" s="66">
        <v>1</v>
      </c>
      <c r="C3" s="59" t="s">
        <v>19</v>
      </c>
      <c r="D3" s="58"/>
      <c r="E3" s="57"/>
      <c r="F3" s="57"/>
      <c r="G3" s="57"/>
    </row>
    <row r="4" spans="1:7" ht="15.75">
      <c r="A4" s="56" t="s">
        <v>129</v>
      </c>
      <c r="B4" s="66">
        <v>10</v>
      </c>
      <c r="C4" s="59" t="s">
        <v>19</v>
      </c>
      <c r="D4" s="58"/>
      <c r="E4" s="57"/>
      <c r="F4" s="57"/>
      <c r="G4" s="57"/>
    </row>
    <row r="5" spans="1:7">
      <c r="A5" s="57"/>
      <c r="B5" s="57"/>
      <c r="C5" s="57"/>
      <c r="D5" s="58"/>
      <c r="E5" s="57"/>
      <c r="F5" s="57"/>
      <c r="G5" s="57"/>
    </row>
    <row r="6" spans="1:7" ht="14.25">
      <c r="A6" s="283" t="s">
        <v>106</v>
      </c>
      <c r="B6" s="284"/>
      <c r="C6" s="284"/>
      <c r="D6" s="58"/>
      <c r="E6" s="283" t="s">
        <v>100</v>
      </c>
      <c r="F6" s="284"/>
      <c r="G6" s="284"/>
    </row>
    <row r="7" spans="1:7" ht="14.25" customHeight="1">
      <c r="A7" s="60" t="s">
        <v>17</v>
      </c>
      <c r="B7" s="67">
        <v>1</v>
      </c>
      <c r="C7" s="59" t="s">
        <v>18</v>
      </c>
      <c r="D7" s="58"/>
      <c r="E7" s="60" t="s">
        <v>17</v>
      </c>
      <c r="F7" s="61">
        <f>($B$3*B7)/($B$4+$B$3)</f>
        <v>9.0909090909090912E-2</v>
      </c>
      <c r="G7" s="59" t="s">
        <v>18</v>
      </c>
    </row>
    <row r="8" spans="1:7" ht="14.25">
      <c r="A8" s="62" t="s">
        <v>6</v>
      </c>
      <c r="B8" s="67">
        <v>1</v>
      </c>
      <c r="C8" s="59" t="s">
        <v>18</v>
      </c>
      <c r="D8" s="58"/>
      <c r="E8" s="62" t="s">
        <v>6</v>
      </c>
      <c r="F8" s="61">
        <f t="shared" ref="F8:F32" si="0">($B$3*B8)/($B$4+$B$3)</f>
        <v>9.0909090909090912E-2</v>
      </c>
      <c r="G8" s="59" t="s">
        <v>18</v>
      </c>
    </row>
    <row r="9" spans="1:7" ht="14.25" customHeight="1">
      <c r="A9" s="62" t="s">
        <v>13</v>
      </c>
      <c r="B9" s="67">
        <v>1</v>
      </c>
      <c r="C9" s="59" t="s">
        <v>18</v>
      </c>
      <c r="D9" s="58"/>
      <c r="E9" s="62" t="s">
        <v>13</v>
      </c>
      <c r="F9" s="61">
        <f t="shared" si="0"/>
        <v>9.0909090909090912E-2</v>
      </c>
      <c r="G9" s="59" t="s">
        <v>18</v>
      </c>
    </row>
    <row r="10" spans="1:7" ht="14.25" customHeight="1">
      <c r="A10" s="60" t="s">
        <v>69</v>
      </c>
      <c r="B10" s="67">
        <v>1</v>
      </c>
      <c r="C10" s="59" t="s">
        <v>18</v>
      </c>
      <c r="D10" s="58"/>
      <c r="E10" s="60" t="s">
        <v>69</v>
      </c>
      <c r="F10" s="61">
        <f t="shared" si="0"/>
        <v>9.0909090909090912E-2</v>
      </c>
      <c r="G10" s="59" t="s">
        <v>18</v>
      </c>
    </row>
    <row r="11" spans="1:7" ht="14.25" customHeight="1">
      <c r="A11" s="62" t="s">
        <v>9</v>
      </c>
      <c r="B11" s="67">
        <v>1</v>
      </c>
      <c r="C11" s="59" t="s">
        <v>18</v>
      </c>
      <c r="D11" s="58"/>
      <c r="E11" s="62" t="s">
        <v>9</v>
      </c>
      <c r="F11" s="61">
        <f t="shared" si="0"/>
        <v>9.0909090909090912E-2</v>
      </c>
      <c r="G11" s="59" t="s">
        <v>18</v>
      </c>
    </row>
    <row r="12" spans="1:7" ht="14.25" customHeight="1">
      <c r="A12" s="63" t="s">
        <v>7</v>
      </c>
      <c r="B12" s="67">
        <v>0</v>
      </c>
      <c r="C12" s="59" t="s">
        <v>18</v>
      </c>
      <c r="D12" s="58"/>
      <c r="E12" s="63" t="s">
        <v>7</v>
      </c>
      <c r="F12" s="61">
        <f t="shared" si="0"/>
        <v>0</v>
      </c>
      <c r="G12" s="59" t="s">
        <v>18</v>
      </c>
    </row>
    <row r="13" spans="1:7" ht="14.25" customHeight="1">
      <c r="A13" s="62" t="s">
        <v>8</v>
      </c>
      <c r="B13" s="67">
        <v>0</v>
      </c>
      <c r="C13" s="59" t="s">
        <v>18</v>
      </c>
      <c r="D13" s="58"/>
      <c r="E13" s="62" t="s">
        <v>8</v>
      </c>
      <c r="F13" s="61">
        <f t="shared" si="0"/>
        <v>0</v>
      </c>
      <c r="G13" s="59" t="s">
        <v>18</v>
      </c>
    </row>
    <row r="14" spans="1:7" ht="14.25" customHeight="1">
      <c r="A14" s="62" t="s">
        <v>11</v>
      </c>
      <c r="B14" s="67">
        <v>0</v>
      </c>
      <c r="C14" s="59" t="s">
        <v>18</v>
      </c>
      <c r="D14" s="58"/>
      <c r="E14" s="62" t="s">
        <v>11</v>
      </c>
      <c r="F14" s="61">
        <f t="shared" si="0"/>
        <v>0</v>
      </c>
      <c r="G14" s="59" t="s">
        <v>18</v>
      </c>
    </row>
    <row r="15" spans="1:7" ht="14.25" customHeight="1">
      <c r="A15" s="63" t="s">
        <v>70</v>
      </c>
      <c r="B15" s="67">
        <v>0</v>
      </c>
      <c r="C15" s="59" t="s">
        <v>18</v>
      </c>
      <c r="D15" s="58"/>
      <c r="E15" s="63" t="s">
        <v>70</v>
      </c>
      <c r="F15" s="61">
        <f t="shared" si="0"/>
        <v>0</v>
      </c>
      <c r="G15" s="59" t="s">
        <v>18</v>
      </c>
    </row>
    <row r="16" spans="1:7" ht="14.25" customHeight="1">
      <c r="A16" s="63" t="s">
        <v>16</v>
      </c>
      <c r="B16" s="67">
        <v>0</v>
      </c>
      <c r="C16" s="59" t="s">
        <v>18</v>
      </c>
      <c r="D16" s="58"/>
      <c r="E16" s="63" t="s">
        <v>16</v>
      </c>
      <c r="F16" s="61">
        <f t="shared" si="0"/>
        <v>0</v>
      </c>
      <c r="G16" s="59" t="s">
        <v>18</v>
      </c>
    </row>
    <row r="17" spans="1:7" ht="14.25" customHeight="1">
      <c r="A17" s="60" t="s">
        <v>71</v>
      </c>
      <c r="B17" s="67">
        <v>0</v>
      </c>
      <c r="C17" s="59" t="s">
        <v>18</v>
      </c>
      <c r="D17" s="58"/>
      <c r="E17" s="60" t="s">
        <v>71</v>
      </c>
      <c r="F17" s="61">
        <f t="shared" si="0"/>
        <v>0</v>
      </c>
      <c r="G17" s="59" t="s">
        <v>18</v>
      </c>
    </row>
    <row r="18" spans="1:7" ht="14.25" customHeight="1">
      <c r="A18" s="62" t="s">
        <v>12</v>
      </c>
      <c r="B18" s="67">
        <v>0</v>
      </c>
      <c r="C18" s="59" t="s">
        <v>18</v>
      </c>
      <c r="D18" s="58"/>
      <c r="E18" s="62" t="s">
        <v>12</v>
      </c>
      <c r="F18" s="61">
        <f t="shared" si="0"/>
        <v>0</v>
      </c>
      <c r="G18" s="59" t="s">
        <v>18</v>
      </c>
    </row>
    <row r="19" spans="1:7" ht="14.25" customHeight="1">
      <c r="A19" s="62" t="s">
        <v>10</v>
      </c>
      <c r="B19" s="67">
        <v>0</v>
      </c>
      <c r="C19" s="59" t="s">
        <v>18</v>
      </c>
      <c r="D19" s="58"/>
      <c r="E19" s="62" t="s">
        <v>10</v>
      </c>
      <c r="F19" s="61">
        <f t="shared" si="0"/>
        <v>0</v>
      </c>
      <c r="G19" s="59" t="s">
        <v>18</v>
      </c>
    </row>
    <row r="20" spans="1:7" ht="14.25" customHeight="1">
      <c r="A20" s="63" t="s">
        <v>72</v>
      </c>
      <c r="B20" s="67">
        <v>0</v>
      </c>
      <c r="C20" s="59" t="s">
        <v>18</v>
      </c>
      <c r="D20" s="58"/>
      <c r="E20" s="63" t="s">
        <v>72</v>
      </c>
      <c r="F20" s="61">
        <f t="shared" si="0"/>
        <v>0</v>
      </c>
      <c r="G20" s="59" t="s">
        <v>18</v>
      </c>
    </row>
    <row r="21" spans="1:7" ht="14.25" customHeight="1">
      <c r="A21" s="63" t="s">
        <v>73</v>
      </c>
      <c r="B21" s="67">
        <v>0</v>
      </c>
      <c r="C21" s="59" t="s">
        <v>18</v>
      </c>
      <c r="D21" s="58"/>
      <c r="E21" s="63" t="s">
        <v>73</v>
      </c>
      <c r="F21" s="61">
        <f t="shared" si="0"/>
        <v>0</v>
      </c>
      <c r="G21" s="59" t="s">
        <v>18</v>
      </c>
    </row>
    <row r="22" spans="1:7" ht="14.25" customHeight="1">
      <c r="A22" s="64" t="s">
        <v>74</v>
      </c>
      <c r="B22" s="67">
        <v>0</v>
      </c>
      <c r="C22" s="59" t="s">
        <v>18</v>
      </c>
      <c r="D22" s="58"/>
      <c r="E22" s="64" t="s">
        <v>74</v>
      </c>
      <c r="F22" s="61">
        <f t="shared" si="0"/>
        <v>0</v>
      </c>
      <c r="G22" s="59" t="s">
        <v>18</v>
      </c>
    </row>
    <row r="23" spans="1:7" ht="14.25" customHeight="1">
      <c r="A23" s="63" t="s">
        <v>75</v>
      </c>
      <c r="B23" s="67">
        <v>0</v>
      </c>
      <c r="C23" s="59" t="s">
        <v>18</v>
      </c>
      <c r="D23" s="58"/>
      <c r="E23" s="63" t="s">
        <v>75</v>
      </c>
      <c r="F23" s="61">
        <f t="shared" si="0"/>
        <v>0</v>
      </c>
      <c r="G23" s="59" t="s">
        <v>18</v>
      </c>
    </row>
    <row r="24" spans="1:7" ht="14.25" customHeight="1">
      <c r="A24" s="64" t="s">
        <v>78</v>
      </c>
      <c r="B24" s="67">
        <v>0</v>
      </c>
      <c r="C24" s="59" t="s">
        <v>18</v>
      </c>
      <c r="D24" s="58"/>
      <c r="E24" s="64" t="s">
        <v>78</v>
      </c>
      <c r="F24" s="61">
        <f t="shared" si="0"/>
        <v>0</v>
      </c>
      <c r="G24" s="59" t="s">
        <v>18</v>
      </c>
    </row>
    <row r="25" spans="1:7" ht="14.25" customHeight="1">
      <c r="A25" s="65" t="s">
        <v>14</v>
      </c>
      <c r="B25" s="67">
        <v>0</v>
      </c>
      <c r="C25" s="59" t="s">
        <v>18</v>
      </c>
      <c r="D25" s="58"/>
      <c r="E25" s="65" t="s">
        <v>14</v>
      </c>
      <c r="F25" s="61">
        <f t="shared" si="0"/>
        <v>0</v>
      </c>
      <c r="G25" s="59" t="s">
        <v>18</v>
      </c>
    </row>
    <row r="26" spans="1:7" ht="14.25" customHeight="1">
      <c r="A26" s="65" t="s">
        <v>79</v>
      </c>
      <c r="B26" s="67">
        <v>0</v>
      </c>
      <c r="C26" s="59" t="s">
        <v>18</v>
      </c>
      <c r="D26" s="58"/>
      <c r="E26" s="65" t="s">
        <v>79</v>
      </c>
      <c r="F26" s="61">
        <f t="shared" si="0"/>
        <v>0</v>
      </c>
      <c r="G26" s="59" t="s">
        <v>18</v>
      </c>
    </row>
    <row r="27" spans="1:7" ht="14.25" customHeight="1">
      <c r="A27" s="65" t="s">
        <v>15</v>
      </c>
      <c r="B27" s="67">
        <v>0</v>
      </c>
      <c r="C27" s="59" t="s">
        <v>18</v>
      </c>
      <c r="D27" s="58"/>
      <c r="E27" s="65" t="s">
        <v>15</v>
      </c>
      <c r="F27" s="61">
        <f t="shared" si="0"/>
        <v>0</v>
      </c>
      <c r="G27" s="59" t="s">
        <v>18</v>
      </c>
    </row>
    <row r="28" spans="1:7" ht="14.25" customHeight="1">
      <c r="A28" s="65" t="s">
        <v>80</v>
      </c>
      <c r="B28" s="67">
        <v>0</v>
      </c>
      <c r="C28" s="59" t="s">
        <v>18</v>
      </c>
      <c r="D28" s="58"/>
      <c r="E28" s="65" t="s">
        <v>80</v>
      </c>
      <c r="F28" s="61">
        <f t="shared" si="0"/>
        <v>0</v>
      </c>
      <c r="G28" s="59" t="s">
        <v>18</v>
      </c>
    </row>
    <row r="29" spans="1:7" ht="14.25" customHeight="1">
      <c r="A29" s="65" t="s">
        <v>59</v>
      </c>
      <c r="B29" s="67">
        <v>0</v>
      </c>
      <c r="C29" s="59" t="s">
        <v>18</v>
      </c>
      <c r="D29" s="58"/>
      <c r="E29" s="65" t="s">
        <v>59</v>
      </c>
      <c r="F29" s="61">
        <f t="shared" si="0"/>
        <v>0</v>
      </c>
      <c r="G29" s="59" t="s">
        <v>18</v>
      </c>
    </row>
    <row r="30" spans="1:7" ht="14.25" customHeight="1">
      <c r="A30" s="65" t="s">
        <v>60</v>
      </c>
      <c r="B30" s="67">
        <v>0</v>
      </c>
      <c r="C30" s="59" t="s">
        <v>18</v>
      </c>
      <c r="D30" s="58"/>
      <c r="E30" s="65" t="s">
        <v>60</v>
      </c>
      <c r="F30" s="61">
        <f t="shared" si="0"/>
        <v>0</v>
      </c>
      <c r="G30" s="59" t="s">
        <v>18</v>
      </c>
    </row>
    <row r="31" spans="1:7" ht="14.25">
      <c r="A31" s="81" t="s">
        <v>61</v>
      </c>
      <c r="B31" s="67">
        <v>0</v>
      </c>
      <c r="C31" s="82" t="s">
        <v>18</v>
      </c>
      <c r="D31" s="58"/>
      <c r="E31" s="81" t="s">
        <v>61</v>
      </c>
      <c r="F31" s="213">
        <f t="shared" si="0"/>
        <v>0</v>
      </c>
      <c r="G31" s="82" t="s">
        <v>18</v>
      </c>
    </row>
    <row r="32" spans="1:7" ht="14.25">
      <c r="A32" s="65" t="s">
        <v>255</v>
      </c>
      <c r="B32" s="67">
        <v>0</v>
      </c>
      <c r="C32" s="59" t="s">
        <v>18</v>
      </c>
      <c r="D32" s="215"/>
      <c r="E32" s="65" t="s">
        <v>255</v>
      </c>
      <c r="F32" s="61">
        <f t="shared" si="0"/>
        <v>0</v>
      </c>
      <c r="G32" s="59" t="s">
        <v>18</v>
      </c>
    </row>
    <row r="33" spans="1:7">
      <c r="A33" s="91"/>
      <c r="B33" s="214"/>
      <c r="C33" s="79"/>
      <c r="D33" s="88"/>
      <c r="E33" s="91"/>
      <c r="F33" s="214"/>
      <c r="G33" s="79"/>
    </row>
    <row r="34" spans="1:7">
      <c r="A34" s="57"/>
      <c r="B34" s="57"/>
      <c r="C34" s="57"/>
      <c r="D34" s="57"/>
      <c r="E34" s="57"/>
      <c r="F34" s="57"/>
      <c r="G34" s="57"/>
    </row>
  </sheetData>
  <mergeCells count="3">
    <mergeCell ref="A6:C6"/>
    <mergeCell ref="E6:G6"/>
    <mergeCell ref="A1:C1"/>
  </mergeCells>
  <pageMargins left="0.7" right="0.7" top="0.75" bottom="0.75" header="0.3" footer="0.3"/>
  <pageSetup scale="67" orientation="portrait" r:id="rId1"/>
</worksheet>
</file>

<file path=xl/worksheets/sheet3.xml><?xml version="1.0" encoding="utf-8"?>
<worksheet xmlns="http://schemas.openxmlformats.org/spreadsheetml/2006/main" xmlns:r="http://schemas.openxmlformats.org/officeDocument/2006/relationships">
  <sheetPr>
    <tabColor theme="2" tint="-9.9978637043366805E-2"/>
  </sheetPr>
  <dimension ref="A1:CC125"/>
  <sheetViews>
    <sheetView workbookViewId="0">
      <selection activeCell="B4" sqref="B4"/>
    </sheetView>
  </sheetViews>
  <sheetFormatPr defaultRowHeight="12.75"/>
  <cols>
    <col min="1" max="1" width="36" style="54" customWidth="1"/>
    <col min="2" max="3" width="13.5703125" style="54" customWidth="1"/>
    <col min="4" max="4" width="13.7109375" style="54" customWidth="1"/>
    <col min="5" max="5" width="9.140625" style="54"/>
    <col min="6" max="6" width="13.85546875" style="54" customWidth="1"/>
    <col min="7" max="7" width="9.140625" style="54"/>
    <col min="8" max="8" width="10.28515625" style="54" customWidth="1"/>
    <col min="9" max="9" width="12.42578125" style="54" bestFit="1" customWidth="1"/>
    <col min="10" max="10" width="13.42578125" style="54" customWidth="1"/>
    <col min="11" max="11" width="9.140625" style="54"/>
    <col min="12" max="12" width="10.7109375" style="54" customWidth="1"/>
    <col min="13" max="13" width="9.42578125" style="54" bestFit="1" customWidth="1"/>
    <col min="14" max="14" width="14.85546875" style="54" customWidth="1"/>
    <col min="15" max="15" width="9.140625" style="54"/>
    <col min="16" max="16" width="11.5703125" style="54" customWidth="1"/>
    <col min="17" max="17" width="10" style="54" bestFit="1" customWidth="1"/>
    <col min="18" max="18" width="16.5703125" style="54" customWidth="1"/>
    <col min="19" max="19" width="9.140625" style="54"/>
    <col min="20" max="20" width="12.28515625" style="54" customWidth="1"/>
    <col min="21" max="21" width="9.140625" style="54"/>
    <col min="22" max="22" width="15.140625" style="54" customWidth="1"/>
    <col min="23" max="23" width="9.140625" style="54"/>
    <col min="24" max="24" width="11.5703125" style="54" customWidth="1"/>
    <col min="25" max="25" width="9.140625" style="54"/>
    <col min="26" max="26" width="14.42578125" style="54" customWidth="1"/>
    <col min="27" max="27" width="9.140625" style="54"/>
    <col min="28" max="28" width="12.42578125" style="54" customWidth="1"/>
    <col min="29" max="29" width="9.140625" style="54"/>
    <col min="30" max="30" width="14.42578125" style="54" customWidth="1"/>
    <col min="31" max="31" width="9.140625" style="54"/>
    <col min="32" max="32" width="12.140625" style="54" customWidth="1"/>
    <col min="33" max="33" width="9.140625" style="54"/>
    <col min="34" max="34" width="15" style="54" customWidth="1"/>
    <col min="35" max="35" width="9.140625" style="54"/>
    <col min="36" max="36" width="12.7109375" style="54" customWidth="1"/>
    <col min="37" max="37" width="9.140625" style="54"/>
    <col min="38" max="38" width="16.140625" style="54" customWidth="1"/>
    <col min="39" max="39" width="9.140625" style="54"/>
    <col min="40" max="40" width="12.140625" style="54" customWidth="1"/>
    <col min="41" max="41" width="9.140625" style="54"/>
    <col min="42" max="42" width="13.85546875" style="54" customWidth="1"/>
    <col min="43" max="43" width="9.140625" style="54"/>
    <col min="44" max="44" width="12" style="54" customWidth="1"/>
    <col min="45" max="45" width="9.140625" style="54"/>
    <col min="46" max="46" width="14.140625" style="54" customWidth="1"/>
    <col min="47" max="47" width="9.140625" style="54"/>
    <col min="48" max="48" width="11.28515625" style="54" customWidth="1"/>
    <col min="49" max="49" width="9.140625" style="54"/>
    <col min="50" max="50" width="13.42578125" style="54" customWidth="1"/>
    <col min="51" max="51" width="9.140625" style="54"/>
    <col min="52" max="52" width="12.140625" style="54" customWidth="1"/>
    <col min="53" max="53" width="9.140625" style="54"/>
    <col min="54" max="54" width="15.28515625" style="54" customWidth="1"/>
    <col min="55" max="55" width="9.140625" style="54"/>
    <col min="56" max="56" width="11" style="54" customWidth="1"/>
    <col min="57" max="57" width="9.140625" style="54"/>
    <col min="58" max="58" width="15" style="54" customWidth="1"/>
    <col min="59" max="59" width="9.140625" style="54"/>
    <col min="60" max="60" width="10.85546875" style="54" customWidth="1"/>
    <col min="61" max="61" width="9.140625" style="54"/>
    <col min="62" max="62" width="14.85546875" style="54" customWidth="1"/>
    <col min="63" max="63" width="9.140625" style="54"/>
    <col min="64" max="64" width="12.140625" style="54" customWidth="1"/>
    <col min="65" max="65" width="9.140625" style="54"/>
    <col min="66" max="66" width="14" style="54" customWidth="1"/>
    <col min="67" max="67" width="9.140625" style="54"/>
    <col min="68" max="68" width="11.42578125" style="54" customWidth="1"/>
    <col min="69" max="69" width="9.140625" style="54"/>
    <col min="70" max="70" width="14.28515625" style="54" customWidth="1"/>
    <col min="71" max="71" width="9.140625" style="54"/>
    <col min="72" max="72" width="12.42578125" style="54" customWidth="1"/>
    <col min="73" max="73" width="9.140625" style="54"/>
    <col min="74" max="74" width="14.140625" style="54" customWidth="1"/>
    <col min="75" max="75" width="9.140625" style="54"/>
    <col min="76" max="76" width="12.28515625" style="54" customWidth="1"/>
    <col min="77" max="77" width="9.140625" style="54"/>
    <col min="78" max="78" width="15.42578125" style="54" customWidth="1"/>
    <col min="79" max="79" width="9.140625" style="54"/>
    <col min="80" max="80" width="13.42578125" style="54" customWidth="1"/>
    <col min="81" max="16384" width="9.140625" style="54"/>
  </cols>
  <sheetData>
    <row r="1" spans="1:21" ht="66.75" customHeight="1">
      <c r="A1" s="286" t="s">
        <v>264</v>
      </c>
      <c r="B1" s="285"/>
      <c r="C1" s="285"/>
      <c r="D1" s="285"/>
      <c r="E1" s="285"/>
    </row>
    <row r="3" spans="1:21" ht="51">
      <c r="A3" s="186" t="s">
        <v>200</v>
      </c>
      <c r="B3" s="187" t="s">
        <v>204</v>
      </c>
      <c r="C3" s="187" t="s">
        <v>205</v>
      </c>
      <c r="D3" s="187" t="s">
        <v>206</v>
      </c>
      <c r="E3" s="187" t="s">
        <v>207</v>
      </c>
      <c r="F3" s="187" t="s">
        <v>208</v>
      </c>
      <c r="G3" s="187" t="s">
        <v>209</v>
      </c>
      <c r="H3" s="187" t="s">
        <v>210</v>
      </c>
      <c r="I3" s="187" t="s">
        <v>211</v>
      </c>
      <c r="J3" s="187" t="s">
        <v>212</v>
      </c>
      <c r="K3" s="187" t="s">
        <v>213</v>
      </c>
      <c r="L3" s="187" t="s">
        <v>214</v>
      </c>
      <c r="M3" s="187" t="s">
        <v>215</v>
      </c>
      <c r="N3" s="187" t="s">
        <v>216</v>
      </c>
      <c r="O3" s="187" t="s">
        <v>217</v>
      </c>
      <c r="P3" s="187" t="s">
        <v>218</v>
      </c>
      <c r="Q3" s="187" t="s">
        <v>219</v>
      </c>
      <c r="R3" s="187" t="s">
        <v>220</v>
      </c>
      <c r="S3" s="187" t="s">
        <v>221</v>
      </c>
      <c r="T3" s="187" t="s">
        <v>222</v>
      </c>
      <c r="U3" s="187" t="s">
        <v>223</v>
      </c>
    </row>
    <row r="4" spans="1:21">
      <c r="A4" s="71" t="s">
        <v>235</v>
      </c>
      <c r="B4" s="276">
        <v>0</v>
      </c>
      <c r="C4" s="276">
        <v>0</v>
      </c>
      <c r="D4" s="276">
        <v>0</v>
      </c>
      <c r="E4" s="276">
        <v>0</v>
      </c>
      <c r="F4" s="276">
        <v>0</v>
      </c>
      <c r="G4" s="276">
        <v>0</v>
      </c>
      <c r="H4" s="276">
        <v>0</v>
      </c>
      <c r="I4" s="276">
        <v>0</v>
      </c>
      <c r="J4" s="276">
        <v>0</v>
      </c>
      <c r="K4" s="276">
        <v>0</v>
      </c>
      <c r="L4" s="276">
        <v>0</v>
      </c>
      <c r="M4" s="276">
        <v>0</v>
      </c>
      <c r="N4" s="276">
        <v>0</v>
      </c>
      <c r="O4" s="276">
        <v>0</v>
      </c>
      <c r="P4" s="276">
        <v>0</v>
      </c>
      <c r="Q4" s="276">
        <v>0</v>
      </c>
      <c r="R4" s="276">
        <v>0</v>
      </c>
      <c r="S4" s="276">
        <v>0</v>
      </c>
      <c r="T4" s="276">
        <v>0</v>
      </c>
      <c r="U4" s="276">
        <v>0</v>
      </c>
    </row>
    <row r="5" spans="1:21">
      <c r="A5" s="71" t="s">
        <v>234</v>
      </c>
      <c r="B5" s="276">
        <v>0</v>
      </c>
      <c r="C5" s="276">
        <v>0</v>
      </c>
      <c r="D5" s="276">
        <v>0</v>
      </c>
      <c r="E5" s="276">
        <v>0</v>
      </c>
      <c r="F5" s="276">
        <v>0</v>
      </c>
      <c r="G5" s="276">
        <v>0</v>
      </c>
      <c r="H5" s="276">
        <v>0</v>
      </c>
      <c r="I5" s="276">
        <v>0</v>
      </c>
      <c r="J5" s="276">
        <v>0</v>
      </c>
      <c r="K5" s="276">
        <v>0</v>
      </c>
      <c r="L5" s="276">
        <v>0</v>
      </c>
      <c r="M5" s="276">
        <v>0</v>
      </c>
      <c r="N5" s="276">
        <v>0</v>
      </c>
      <c r="O5" s="276">
        <v>0</v>
      </c>
      <c r="P5" s="276">
        <v>0</v>
      </c>
      <c r="Q5" s="276">
        <v>0</v>
      </c>
      <c r="R5" s="276">
        <v>0</v>
      </c>
      <c r="S5" s="276">
        <v>0</v>
      </c>
      <c r="T5" s="276">
        <v>0</v>
      </c>
      <c r="U5" s="276">
        <v>0</v>
      </c>
    </row>
    <row r="6" spans="1:21">
      <c r="A6" s="71" t="s">
        <v>203</v>
      </c>
      <c r="B6" s="276">
        <v>0</v>
      </c>
      <c r="C6" s="276">
        <v>0</v>
      </c>
      <c r="D6" s="276">
        <v>0</v>
      </c>
      <c r="E6" s="276">
        <v>0</v>
      </c>
      <c r="F6" s="276">
        <v>0</v>
      </c>
      <c r="G6" s="276">
        <v>0</v>
      </c>
      <c r="H6" s="276">
        <v>0</v>
      </c>
      <c r="I6" s="276">
        <v>0</v>
      </c>
      <c r="J6" s="276">
        <v>0</v>
      </c>
      <c r="K6" s="276">
        <v>0</v>
      </c>
      <c r="L6" s="276">
        <v>0</v>
      </c>
      <c r="M6" s="276">
        <v>0</v>
      </c>
      <c r="N6" s="276">
        <v>0</v>
      </c>
      <c r="O6" s="276">
        <v>0</v>
      </c>
      <c r="P6" s="276">
        <v>0</v>
      </c>
      <c r="Q6" s="276">
        <v>0</v>
      </c>
      <c r="R6" s="276">
        <v>0</v>
      </c>
      <c r="S6" s="276">
        <v>0</v>
      </c>
      <c r="T6" s="276">
        <v>0</v>
      </c>
      <c r="U6" s="276">
        <v>0</v>
      </c>
    </row>
    <row r="7" spans="1:21">
      <c r="A7" s="71" t="s">
        <v>236</v>
      </c>
      <c r="B7" s="276">
        <v>0</v>
      </c>
      <c r="C7" s="276">
        <v>0</v>
      </c>
      <c r="D7" s="276">
        <v>0</v>
      </c>
      <c r="E7" s="276">
        <v>0</v>
      </c>
      <c r="F7" s="276">
        <v>0</v>
      </c>
      <c r="G7" s="276">
        <v>0</v>
      </c>
      <c r="H7" s="276">
        <v>0</v>
      </c>
      <c r="I7" s="276">
        <v>0</v>
      </c>
      <c r="J7" s="276">
        <v>0</v>
      </c>
      <c r="K7" s="276">
        <v>0</v>
      </c>
      <c r="L7" s="276">
        <v>0</v>
      </c>
      <c r="M7" s="276">
        <v>0</v>
      </c>
      <c r="N7" s="276">
        <v>0</v>
      </c>
      <c r="O7" s="276">
        <v>0</v>
      </c>
      <c r="P7" s="276">
        <v>0</v>
      </c>
      <c r="Q7" s="276">
        <v>0</v>
      </c>
      <c r="R7" s="276">
        <v>0</v>
      </c>
      <c r="S7" s="276">
        <v>0</v>
      </c>
      <c r="T7" s="276">
        <v>0</v>
      </c>
      <c r="U7" s="276">
        <v>0</v>
      </c>
    </row>
    <row r="8" spans="1:21">
      <c r="A8" s="71" t="s">
        <v>225</v>
      </c>
      <c r="B8" s="276">
        <v>0</v>
      </c>
      <c r="C8" s="276">
        <v>0</v>
      </c>
      <c r="D8" s="276">
        <v>0</v>
      </c>
      <c r="E8" s="276">
        <v>0</v>
      </c>
      <c r="F8" s="276">
        <v>0</v>
      </c>
      <c r="G8" s="276">
        <v>0</v>
      </c>
      <c r="H8" s="276">
        <v>0</v>
      </c>
      <c r="I8" s="276">
        <v>0</v>
      </c>
      <c r="J8" s="276">
        <v>0</v>
      </c>
      <c r="K8" s="276">
        <v>0</v>
      </c>
      <c r="L8" s="276">
        <v>0</v>
      </c>
      <c r="M8" s="276">
        <v>0</v>
      </c>
      <c r="N8" s="276">
        <v>0</v>
      </c>
      <c r="O8" s="276">
        <v>0</v>
      </c>
      <c r="P8" s="276">
        <v>0</v>
      </c>
      <c r="Q8" s="276">
        <v>0</v>
      </c>
      <c r="R8" s="276">
        <v>0</v>
      </c>
      <c r="S8" s="276">
        <v>0</v>
      </c>
      <c r="T8" s="276">
        <v>0</v>
      </c>
      <c r="U8" s="276">
        <v>0</v>
      </c>
    </row>
    <row r="9" spans="1:21">
      <c r="A9" s="71" t="s">
        <v>238</v>
      </c>
      <c r="B9" s="276">
        <v>0</v>
      </c>
      <c r="C9" s="276">
        <v>0</v>
      </c>
      <c r="D9" s="276">
        <v>0</v>
      </c>
      <c r="E9" s="276">
        <v>0</v>
      </c>
      <c r="F9" s="276">
        <v>0</v>
      </c>
      <c r="G9" s="276">
        <v>0</v>
      </c>
      <c r="H9" s="276">
        <v>0</v>
      </c>
      <c r="I9" s="276">
        <v>0</v>
      </c>
      <c r="J9" s="276">
        <v>0</v>
      </c>
      <c r="K9" s="276">
        <v>0</v>
      </c>
      <c r="L9" s="276">
        <v>0</v>
      </c>
      <c r="M9" s="276">
        <v>0</v>
      </c>
      <c r="N9" s="276">
        <v>0</v>
      </c>
      <c r="O9" s="276">
        <v>0</v>
      </c>
      <c r="P9" s="276">
        <v>0</v>
      </c>
      <c r="Q9" s="276">
        <v>0</v>
      </c>
      <c r="R9" s="276">
        <v>0</v>
      </c>
      <c r="S9" s="276">
        <v>0</v>
      </c>
      <c r="T9" s="276">
        <v>0</v>
      </c>
      <c r="U9" s="276">
        <v>0</v>
      </c>
    </row>
    <row r="10" spans="1:21">
      <c r="A10" s="71" t="s">
        <v>237</v>
      </c>
      <c r="B10" s="276">
        <v>0</v>
      </c>
      <c r="C10" s="276">
        <v>0</v>
      </c>
      <c r="D10" s="276">
        <v>0</v>
      </c>
      <c r="E10" s="276">
        <v>0</v>
      </c>
      <c r="F10" s="276">
        <v>0</v>
      </c>
      <c r="G10" s="276">
        <v>0</v>
      </c>
      <c r="H10" s="276">
        <v>0</v>
      </c>
      <c r="I10" s="276">
        <v>0</v>
      </c>
      <c r="J10" s="276">
        <v>0</v>
      </c>
      <c r="K10" s="276">
        <v>0</v>
      </c>
      <c r="L10" s="276">
        <v>0</v>
      </c>
      <c r="M10" s="276">
        <v>0</v>
      </c>
      <c r="N10" s="276">
        <v>0</v>
      </c>
      <c r="O10" s="276">
        <v>0</v>
      </c>
      <c r="P10" s="276">
        <v>0</v>
      </c>
      <c r="Q10" s="276">
        <v>0</v>
      </c>
      <c r="R10" s="276">
        <v>0</v>
      </c>
      <c r="S10" s="276">
        <v>0</v>
      </c>
      <c r="T10" s="276">
        <v>0</v>
      </c>
      <c r="U10" s="276">
        <v>0</v>
      </c>
    </row>
    <row r="11" spans="1:21">
      <c r="A11" s="71" t="s">
        <v>239</v>
      </c>
      <c r="B11" s="276">
        <v>0</v>
      </c>
      <c r="C11" s="276">
        <v>0</v>
      </c>
      <c r="D11" s="276">
        <v>0</v>
      </c>
      <c r="E11" s="276">
        <v>0</v>
      </c>
      <c r="F11" s="276">
        <v>0</v>
      </c>
      <c r="G11" s="276">
        <v>0</v>
      </c>
      <c r="H11" s="276">
        <v>0</v>
      </c>
      <c r="I11" s="276">
        <v>0</v>
      </c>
      <c r="J11" s="276">
        <v>0</v>
      </c>
      <c r="K11" s="276">
        <v>0</v>
      </c>
      <c r="L11" s="276">
        <v>0</v>
      </c>
      <c r="M11" s="276">
        <v>0</v>
      </c>
      <c r="N11" s="276">
        <v>0</v>
      </c>
      <c r="O11" s="276">
        <v>0</v>
      </c>
      <c r="P11" s="276">
        <v>0</v>
      </c>
      <c r="Q11" s="276">
        <v>0</v>
      </c>
      <c r="R11" s="276">
        <v>0</v>
      </c>
      <c r="S11" s="276">
        <v>0</v>
      </c>
      <c r="T11" s="276">
        <v>0</v>
      </c>
      <c r="U11" s="276">
        <v>0</v>
      </c>
    </row>
    <row r="12" spans="1:21">
      <c r="A12" s="71" t="s">
        <v>240</v>
      </c>
      <c r="B12" s="276">
        <v>0</v>
      </c>
      <c r="C12" s="276">
        <v>0</v>
      </c>
      <c r="D12" s="276">
        <v>0</v>
      </c>
      <c r="E12" s="276">
        <v>0</v>
      </c>
      <c r="F12" s="276">
        <v>0</v>
      </c>
      <c r="G12" s="276">
        <v>0</v>
      </c>
      <c r="H12" s="276">
        <v>0</v>
      </c>
      <c r="I12" s="276">
        <v>0</v>
      </c>
      <c r="J12" s="276">
        <v>0</v>
      </c>
      <c r="K12" s="276">
        <v>0</v>
      </c>
      <c r="L12" s="276">
        <v>0</v>
      </c>
      <c r="M12" s="276">
        <v>0</v>
      </c>
      <c r="N12" s="276">
        <v>0</v>
      </c>
      <c r="O12" s="276">
        <v>0</v>
      </c>
      <c r="P12" s="276">
        <v>0</v>
      </c>
      <c r="Q12" s="276">
        <v>0</v>
      </c>
      <c r="R12" s="276">
        <v>0</v>
      </c>
      <c r="S12" s="276">
        <v>0</v>
      </c>
      <c r="T12" s="276">
        <v>0</v>
      </c>
      <c r="U12" s="276">
        <v>0</v>
      </c>
    </row>
    <row r="13" spans="1:21">
      <c r="A13" s="71" t="s">
        <v>242</v>
      </c>
      <c r="B13" s="276">
        <v>0</v>
      </c>
      <c r="C13" s="276">
        <v>0</v>
      </c>
      <c r="D13" s="276">
        <v>0</v>
      </c>
      <c r="E13" s="276">
        <v>0</v>
      </c>
      <c r="F13" s="276">
        <v>0</v>
      </c>
      <c r="G13" s="276">
        <v>0</v>
      </c>
      <c r="H13" s="276">
        <v>0</v>
      </c>
      <c r="I13" s="276">
        <v>0</v>
      </c>
      <c r="J13" s="276">
        <v>0</v>
      </c>
      <c r="K13" s="276">
        <v>0</v>
      </c>
      <c r="L13" s="276">
        <v>0</v>
      </c>
      <c r="M13" s="276">
        <v>0</v>
      </c>
      <c r="N13" s="276">
        <v>0</v>
      </c>
      <c r="O13" s="276">
        <v>0</v>
      </c>
      <c r="P13" s="276">
        <v>0</v>
      </c>
      <c r="Q13" s="276">
        <v>0</v>
      </c>
      <c r="R13" s="276">
        <v>0</v>
      </c>
      <c r="S13" s="276">
        <v>0</v>
      </c>
      <c r="T13" s="276">
        <v>0</v>
      </c>
      <c r="U13" s="276">
        <v>0</v>
      </c>
    </row>
    <row r="14" spans="1:21">
      <c r="A14" s="71" t="s">
        <v>241</v>
      </c>
      <c r="B14" s="276">
        <v>0</v>
      </c>
      <c r="C14" s="276">
        <v>0</v>
      </c>
      <c r="D14" s="276">
        <v>0</v>
      </c>
      <c r="E14" s="276">
        <v>0</v>
      </c>
      <c r="F14" s="276">
        <v>0</v>
      </c>
      <c r="G14" s="276">
        <v>0</v>
      </c>
      <c r="H14" s="276">
        <v>0</v>
      </c>
      <c r="I14" s="276">
        <v>0</v>
      </c>
      <c r="J14" s="276">
        <v>0</v>
      </c>
      <c r="K14" s="276">
        <v>0</v>
      </c>
      <c r="L14" s="276">
        <v>0</v>
      </c>
      <c r="M14" s="276">
        <v>0</v>
      </c>
      <c r="N14" s="276">
        <v>0</v>
      </c>
      <c r="O14" s="276">
        <v>0</v>
      </c>
      <c r="P14" s="276">
        <v>0</v>
      </c>
      <c r="Q14" s="276">
        <v>0</v>
      </c>
      <c r="R14" s="276">
        <v>0</v>
      </c>
      <c r="S14" s="276">
        <v>0</v>
      </c>
      <c r="T14" s="276">
        <v>0</v>
      </c>
      <c r="U14" s="276">
        <v>0</v>
      </c>
    </row>
    <row r="16" spans="1:21" ht="38.25">
      <c r="A16" s="186" t="s">
        <v>231</v>
      </c>
      <c r="B16" s="186" t="s">
        <v>232</v>
      </c>
      <c r="C16" s="186" t="s">
        <v>233</v>
      </c>
    </row>
    <row r="17" spans="1:81">
      <c r="A17" s="71" t="s">
        <v>243</v>
      </c>
      <c r="B17" s="155">
        <f>C17</f>
        <v>95</v>
      </c>
      <c r="C17" s="155">
        <v>95</v>
      </c>
    </row>
    <row r="18" spans="1:81">
      <c r="A18" s="188" t="s">
        <v>224</v>
      </c>
      <c r="B18" s="155">
        <f t="shared" ref="B18:B21" si="0">C18</f>
        <v>95</v>
      </c>
      <c r="C18" s="155">
        <v>95</v>
      </c>
    </row>
    <row r="19" spans="1:81">
      <c r="A19" s="71" t="s">
        <v>244</v>
      </c>
      <c r="B19" s="155">
        <f t="shared" si="0"/>
        <v>95</v>
      </c>
      <c r="C19" s="155">
        <v>95</v>
      </c>
    </row>
    <row r="20" spans="1:81">
      <c r="A20" s="56" t="s">
        <v>245</v>
      </c>
      <c r="B20" s="155">
        <f t="shared" si="0"/>
        <v>95</v>
      </c>
      <c r="C20" s="59">
        <v>95</v>
      </c>
    </row>
    <row r="21" spans="1:81">
      <c r="A21" s="56" t="s">
        <v>246</v>
      </c>
      <c r="B21" s="155">
        <f t="shared" si="0"/>
        <v>95</v>
      </c>
      <c r="C21" s="59">
        <v>95</v>
      </c>
    </row>
    <row r="22" spans="1:81">
      <c r="A22" s="78"/>
      <c r="B22" s="189"/>
      <c r="C22" s="79"/>
    </row>
    <row r="23" spans="1:81" ht="13.5" thickBot="1">
      <c r="A23" s="78"/>
      <c r="B23" s="189"/>
      <c r="C23" s="79"/>
    </row>
    <row r="24" spans="1:81">
      <c r="A24" s="78"/>
      <c r="B24" s="287" t="s">
        <v>204</v>
      </c>
      <c r="C24" s="288"/>
      <c r="D24" s="288"/>
      <c r="E24" s="289"/>
      <c r="F24" s="287" t="s">
        <v>205</v>
      </c>
      <c r="G24" s="288"/>
      <c r="H24" s="288"/>
      <c r="I24" s="289"/>
      <c r="J24" s="287" t="s">
        <v>206</v>
      </c>
      <c r="K24" s="288"/>
      <c r="L24" s="288"/>
      <c r="M24" s="289"/>
      <c r="N24" s="287" t="s">
        <v>207</v>
      </c>
      <c r="O24" s="288"/>
      <c r="P24" s="288"/>
      <c r="Q24" s="289"/>
      <c r="R24" s="287" t="s">
        <v>208</v>
      </c>
      <c r="S24" s="288"/>
      <c r="T24" s="288"/>
      <c r="U24" s="289"/>
      <c r="V24" s="287" t="s">
        <v>209</v>
      </c>
      <c r="W24" s="288"/>
      <c r="X24" s="288"/>
      <c r="Y24" s="289"/>
      <c r="Z24" s="287" t="s">
        <v>210</v>
      </c>
      <c r="AA24" s="288"/>
      <c r="AB24" s="288"/>
      <c r="AC24" s="289"/>
      <c r="AD24" s="287" t="s">
        <v>211</v>
      </c>
      <c r="AE24" s="288"/>
      <c r="AF24" s="288"/>
      <c r="AG24" s="289"/>
      <c r="AH24" s="287" t="s">
        <v>212</v>
      </c>
      <c r="AI24" s="288"/>
      <c r="AJ24" s="288"/>
      <c r="AK24" s="289"/>
      <c r="AL24" s="287" t="s">
        <v>213</v>
      </c>
      <c r="AM24" s="288"/>
      <c r="AN24" s="288"/>
      <c r="AO24" s="289"/>
      <c r="AP24" s="287" t="s">
        <v>214</v>
      </c>
      <c r="AQ24" s="288"/>
      <c r="AR24" s="288"/>
      <c r="AS24" s="289"/>
      <c r="AT24" s="287" t="s">
        <v>215</v>
      </c>
      <c r="AU24" s="288"/>
      <c r="AV24" s="288"/>
      <c r="AW24" s="289"/>
      <c r="AX24" s="287" t="s">
        <v>216</v>
      </c>
      <c r="AY24" s="288"/>
      <c r="AZ24" s="288"/>
      <c r="BA24" s="289"/>
      <c r="BB24" s="287" t="s">
        <v>217</v>
      </c>
      <c r="BC24" s="288"/>
      <c r="BD24" s="288"/>
      <c r="BE24" s="289"/>
      <c r="BF24" s="287" t="s">
        <v>218</v>
      </c>
      <c r="BG24" s="288"/>
      <c r="BH24" s="288"/>
      <c r="BI24" s="289"/>
      <c r="BJ24" s="287" t="s">
        <v>219</v>
      </c>
      <c r="BK24" s="288"/>
      <c r="BL24" s="288"/>
      <c r="BM24" s="289"/>
      <c r="BN24" s="287" t="s">
        <v>220</v>
      </c>
      <c r="BO24" s="288"/>
      <c r="BP24" s="288"/>
      <c r="BQ24" s="289"/>
      <c r="BR24" s="287" t="s">
        <v>221</v>
      </c>
      <c r="BS24" s="288"/>
      <c r="BT24" s="288"/>
      <c r="BU24" s="289"/>
      <c r="BV24" s="287" t="s">
        <v>222</v>
      </c>
      <c r="BW24" s="288"/>
      <c r="BX24" s="288"/>
      <c r="BY24" s="289"/>
      <c r="BZ24" s="287" t="s">
        <v>223</v>
      </c>
      <c r="CA24" s="288"/>
      <c r="CB24" s="288"/>
      <c r="CC24" s="289"/>
    </row>
    <row r="25" spans="1:81" ht="14.25">
      <c r="A25" s="176" t="s">
        <v>124</v>
      </c>
      <c r="B25" s="182">
        <v>1</v>
      </c>
      <c r="C25" s="59" t="s">
        <v>19</v>
      </c>
      <c r="D25" s="190"/>
      <c r="E25" s="191"/>
      <c r="F25" s="182">
        <v>0</v>
      </c>
      <c r="G25" s="59" t="s">
        <v>19</v>
      </c>
      <c r="H25" s="190"/>
      <c r="I25" s="191"/>
      <c r="J25" s="182">
        <v>0</v>
      </c>
      <c r="K25" s="59" t="s">
        <v>19</v>
      </c>
      <c r="L25" s="190"/>
      <c r="M25" s="191"/>
      <c r="N25" s="182">
        <v>0</v>
      </c>
      <c r="O25" s="59" t="s">
        <v>19</v>
      </c>
      <c r="P25" s="190"/>
      <c r="Q25" s="191"/>
      <c r="R25" s="182">
        <v>0</v>
      </c>
      <c r="S25" s="59" t="s">
        <v>19</v>
      </c>
      <c r="T25" s="190"/>
      <c r="U25" s="191"/>
      <c r="V25" s="182">
        <v>0</v>
      </c>
      <c r="W25" s="59" t="s">
        <v>19</v>
      </c>
      <c r="X25" s="190"/>
      <c r="Y25" s="191"/>
      <c r="Z25" s="182">
        <v>0</v>
      </c>
      <c r="AA25" s="59" t="s">
        <v>19</v>
      </c>
      <c r="AB25" s="190"/>
      <c r="AC25" s="191"/>
      <c r="AD25" s="182">
        <v>0</v>
      </c>
      <c r="AE25" s="59" t="s">
        <v>19</v>
      </c>
      <c r="AF25" s="190"/>
      <c r="AG25" s="191"/>
      <c r="AH25" s="182">
        <v>0</v>
      </c>
      <c r="AI25" s="59" t="s">
        <v>19</v>
      </c>
      <c r="AJ25" s="190"/>
      <c r="AK25" s="191"/>
      <c r="AL25" s="182">
        <v>0</v>
      </c>
      <c r="AM25" s="59" t="s">
        <v>19</v>
      </c>
      <c r="AN25" s="190"/>
      <c r="AO25" s="191"/>
      <c r="AP25" s="182">
        <v>0</v>
      </c>
      <c r="AQ25" s="59" t="s">
        <v>19</v>
      </c>
      <c r="AR25" s="190"/>
      <c r="AS25" s="191"/>
      <c r="AT25" s="182">
        <v>0</v>
      </c>
      <c r="AU25" s="59" t="s">
        <v>19</v>
      </c>
      <c r="AV25" s="190"/>
      <c r="AW25" s="191"/>
      <c r="AX25" s="182">
        <v>0</v>
      </c>
      <c r="AY25" s="59" t="s">
        <v>19</v>
      </c>
      <c r="AZ25" s="190"/>
      <c r="BA25" s="191"/>
      <c r="BB25" s="182">
        <v>0</v>
      </c>
      <c r="BC25" s="59" t="s">
        <v>19</v>
      </c>
      <c r="BD25" s="190"/>
      <c r="BE25" s="191"/>
      <c r="BF25" s="182">
        <v>0</v>
      </c>
      <c r="BG25" s="59" t="s">
        <v>19</v>
      </c>
      <c r="BH25" s="190"/>
      <c r="BI25" s="191"/>
      <c r="BJ25" s="182">
        <v>0</v>
      </c>
      <c r="BK25" s="59" t="s">
        <v>19</v>
      </c>
      <c r="BL25" s="190"/>
      <c r="BM25" s="191"/>
      <c r="BN25" s="182">
        <v>0</v>
      </c>
      <c r="BO25" s="59" t="s">
        <v>19</v>
      </c>
      <c r="BP25" s="190"/>
      <c r="BQ25" s="191"/>
      <c r="BR25" s="182">
        <v>0</v>
      </c>
      <c r="BS25" s="59" t="s">
        <v>19</v>
      </c>
      <c r="BT25" s="190"/>
      <c r="BU25" s="191"/>
      <c r="BV25" s="182">
        <v>0</v>
      </c>
      <c r="BW25" s="59" t="s">
        <v>19</v>
      </c>
      <c r="BX25" s="190"/>
      <c r="BY25" s="191"/>
      <c r="BZ25" s="182">
        <v>0</v>
      </c>
      <c r="CA25" s="59" t="s">
        <v>19</v>
      </c>
      <c r="CB25" s="190"/>
      <c r="CC25" s="191"/>
    </row>
    <row r="26" spans="1:81" ht="28.5" customHeight="1">
      <c r="A26" s="192" t="s">
        <v>62</v>
      </c>
      <c r="B26" s="193" t="s">
        <v>201</v>
      </c>
      <c r="C26" s="156" t="s">
        <v>202</v>
      </c>
      <c r="D26" s="187" t="s">
        <v>161</v>
      </c>
      <c r="E26" s="194" t="s">
        <v>202</v>
      </c>
      <c r="F26" s="193" t="s">
        <v>201</v>
      </c>
      <c r="G26" s="156" t="s">
        <v>202</v>
      </c>
      <c r="H26" s="187" t="s">
        <v>161</v>
      </c>
      <c r="I26" s="194" t="s">
        <v>202</v>
      </c>
      <c r="J26" s="193" t="s">
        <v>201</v>
      </c>
      <c r="K26" s="156" t="s">
        <v>202</v>
      </c>
      <c r="L26" s="187" t="s">
        <v>161</v>
      </c>
      <c r="M26" s="194" t="s">
        <v>202</v>
      </c>
      <c r="N26" s="193" t="s">
        <v>201</v>
      </c>
      <c r="O26" s="156" t="s">
        <v>202</v>
      </c>
      <c r="P26" s="187" t="s">
        <v>161</v>
      </c>
      <c r="Q26" s="194" t="s">
        <v>202</v>
      </c>
      <c r="R26" s="193" t="s">
        <v>201</v>
      </c>
      <c r="S26" s="156" t="s">
        <v>202</v>
      </c>
      <c r="T26" s="187" t="s">
        <v>161</v>
      </c>
      <c r="U26" s="194" t="s">
        <v>202</v>
      </c>
      <c r="V26" s="193" t="s">
        <v>201</v>
      </c>
      <c r="W26" s="156" t="s">
        <v>202</v>
      </c>
      <c r="X26" s="187" t="s">
        <v>161</v>
      </c>
      <c r="Y26" s="194" t="s">
        <v>202</v>
      </c>
      <c r="Z26" s="193" t="s">
        <v>201</v>
      </c>
      <c r="AA26" s="156" t="s">
        <v>202</v>
      </c>
      <c r="AB26" s="187" t="s">
        <v>161</v>
      </c>
      <c r="AC26" s="194" t="s">
        <v>202</v>
      </c>
      <c r="AD26" s="193" t="s">
        <v>201</v>
      </c>
      <c r="AE26" s="156" t="s">
        <v>202</v>
      </c>
      <c r="AF26" s="187" t="s">
        <v>161</v>
      </c>
      <c r="AG26" s="194" t="s">
        <v>202</v>
      </c>
      <c r="AH26" s="193" t="s">
        <v>201</v>
      </c>
      <c r="AI26" s="156" t="s">
        <v>202</v>
      </c>
      <c r="AJ26" s="187" t="s">
        <v>161</v>
      </c>
      <c r="AK26" s="194" t="s">
        <v>202</v>
      </c>
      <c r="AL26" s="193" t="s">
        <v>201</v>
      </c>
      <c r="AM26" s="156" t="s">
        <v>202</v>
      </c>
      <c r="AN26" s="187" t="s">
        <v>161</v>
      </c>
      <c r="AO26" s="194" t="s">
        <v>202</v>
      </c>
      <c r="AP26" s="193" t="s">
        <v>201</v>
      </c>
      <c r="AQ26" s="156" t="s">
        <v>202</v>
      </c>
      <c r="AR26" s="187" t="s">
        <v>161</v>
      </c>
      <c r="AS26" s="194" t="s">
        <v>202</v>
      </c>
      <c r="AT26" s="193" t="s">
        <v>201</v>
      </c>
      <c r="AU26" s="156" t="s">
        <v>202</v>
      </c>
      <c r="AV26" s="187" t="s">
        <v>161</v>
      </c>
      <c r="AW26" s="194" t="s">
        <v>202</v>
      </c>
      <c r="AX26" s="193" t="s">
        <v>201</v>
      </c>
      <c r="AY26" s="156" t="s">
        <v>202</v>
      </c>
      <c r="AZ26" s="187" t="s">
        <v>161</v>
      </c>
      <c r="BA26" s="194" t="s">
        <v>202</v>
      </c>
      <c r="BB26" s="193" t="s">
        <v>201</v>
      </c>
      <c r="BC26" s="156" t="s">
        <v>202</v>
      </c>
      <c r="BD26" s="187" t="s">
        <v>161</v>
      </c>
      <c r="BE26" s="194" t="s">
        <v>202</v>
      </c>
      <c r="BF26" s="193" t="s">
        <v>201</v>
      </c>
      <c r="BG26" s="156" t="s">
        <v>202</v>
      </c>
      <c r="BH26" s="187" t="s">
        <v>161</v>
      </c>
      <c r="BI26" s="194" t="s">
        <v>202</v>
      </c>
      <c r="BJ26" s="193" t="s">
        <v>201</v>
      </c>
      <c r="BK26" s="156" t="s">
        <v>202</v>
      </c>
      <c r="BL26" s="187" t="s">
        <v>161</v>
      </c>
      <c r="BM26" s="194" t="s">
        <v>202</v>
      </c>
      <c r="BN26" s="193" t="s">
        <v>201</v>
      </c>
      <c r="BO26" s="156" t="s">
        <v>202</v>
      </c>
      <c r="BP26" s="187" t="s">
        <v>161</v>
      </c>
      <c r="BQ26" s="194" t="s">
        <v>202</v>
      </c>
      <c r="BR26" s="193" t="s">
        <v>201</v>
      </c>
      <c r="BS26" s="156" t="s">
        <v>202</v>
      </c>
      <c r="BT26" s="187" t="s">
        <v>161</v>
      </c>
      <c r="BU26" s="194" t="s">
        <v>202</v>
      </c>
      <c r="BV26" s="193" t="s">
        <v>201</v>
      </c>
      <c r="BW26" s="156" t="s">
        <v>202</v>
      </c>
      <c r="BX26" s="187" t="s">
        <v>161</v>
      </c>
      <c r="BY26" s="194" t="s">
        <v>202</v>
      </c>
      <c r="BZ26" s="193" t="s">
        <v>201</v>
      </c>
      <c r="CA26" s="156" t="s">
        <v>202</v>
      </c>
      <c r="CB26" s="187" t="s">
        <v>161</v>
      </c>
      <c r="CC26" s="194" t="s">
        <v>202</v>
      </c>
    </row>
    <row r="27" spans="1:81" ht="14.25">
      <c r="A27" s="177" t="s">
        <v>17</v>
      </c>
      <c r="B27" s="183">
        <v>1</v>
      </c>
      <c r="C27" s="59" t="s">
        <v>18</v>
      </c>
      <c r="D27" s="271">
        <f t="shared" ref="D27:D52" si="1">(1-(((1-B93)^($B$4))*((1-C93)^(IF($B$5&gt;0,1,0)))*((1-D93)^($B$6/15.2))*((1-E93)^($B$7))*((1-F93)^(IF($B$8&gt;0,1,0)))*((1-G93)^($B$9))*((1-H93)^(IF($B$10&gt;0,1,0)))*((1-I93)^($B$11))*((1-J93)^($B$12))*((1-K93)^($B$13))*((1-L93)^($B$14))))*($B$25*B27)</f>
        <v>0</v>
      </c>
      <c r="E27" s="196" t="s">
        <v>23</v>
      </c>
      <c r="F27" s="183">
        <v>0</v>
      </c>
      <c r="G27" s="59" t="s">
        <v>18</v>
      </c>
      <c r="H27" s="195">
        <f t="shared" ref="H27:H52" si="2">(1-(((1-B93)^($C$4))*((1-C93)^(IF($C$5&gt;0,1,0)))*((1-D93)^($C$6/15.2))*((1-E93)^($C$7))*((1-F93)^(IF($C$8&gt;0,1,0)))*((1-G93)^($C$9))*((1-H93)^(IF($C$10&gt;0,1,0)))*((1-I93)^($C$11))*((1-J93)^($C$12))*((1-K93)^($C$13))*((1-L93)^($C$14))))*($F$25*F27)</f>
        <v>0</v>
      </c>
      <c r="I27" s="196" t="s">
        <v>23</v>
      </c>
      <c r="J27" s="183">
        <v>0</v>
      </c>
      <c r="K27" s="59" t="s">
        <v>18</v>
      </c>
      <c r="L27" s="195">
        <f t="shared" ref="L27:L52" si="3">(1-(((1-B93)^($D$4))*((1-C93)^(IF($D$5&gt;0,1,0)))*((1-D93)^($D$6/15.2))*((1-E93)^($D$7))*((1-F93)^(IF($D$8&gt;0,1,0)))*((1-G93)^($D$9))*((1-H93)^(IF($D$10&gt;0,1,0)))*((1-I93)^($D$11))*((1-J93)^($D$12))*((1-K93)^($D$13))*((1-L93)^($D$14))))*($J$25*J27)</f>
        <v>0</v>
      </c>
      <c r="M27" s="196" t="s">
        <v>23</v>
      </c>
      <c r="N27" s="183">
        <v>0</v>
      </c>
      <c r="O27" s="59" t="s">
        <v>18</v>
      </c>
      <c r="P27" s="195">
        <f t="shared" ref="P27:P52" si="4">(1-(((1-B93)^($E$4))*((1-C93)^(IF($E$5&gt;0,1,0)))*((1-D93)^($E$6/15.2))*((1-E93)^($E$7))*((1-F93)^(IF($E$8&gt;0,1,0)))*((1-G93)^($E$9))*((1-H93)^(IF($E$10&gt;0,1,0)))*((1-I93)^($E$11))*((1-J93)^($E$12))*((1-K93)^($E$13))*((1-L93)^($E$14))))*($N$25*N27)</f>
        <v>0</v>
      </c>
      <c r="Q27" s="196" t="s">
        <v>23</v>
      </c>
      <c r="R27" s="183">
        <v>0</v>
      </c>
      <c r="S27" s="59" t="s">
        <v>18</v>
      </c>
      <c r="T27" s="195">
        <f t="shared" ref="T27:T52" si="5">(1-(((1-B93)^($F$4))*((1-C93)^(IF($F$5&gt;0,1,0)))*((1-D93)^($F$6/15.2))*((1-E93)^($F$7))*((1-F93)^(IF($F$8&gt;0,1,0)))*((1-G93)^($F$9))*((1-H93)^(IF($F$10&gt;0,1,0)))*((1-I93)^($F$11))*((1-J93)^($F$12))*((1-K93)^($F$13))*((1-L93)^($F$14))))*($R$25*R27)</f>
        <v>0</v>
      </c>
      <c r="U27" s="196" t="s">
        <v>23</v>
      </c>
      <c r="V27" s="183">
        <v>0</v>
      </c>
      <c r="W27" s="59" t="s">
        <v>18</v>
      </c>
      <c r="X27" s="195">
        <f t="shared" ref="X27:X52" si="6">(1-(((1-B93)^($G$4))*((1-C93)^(IF($G$5&gt;0,1,0)))*((1-D93)^($G$6/15.2))*((1-E93)^($G$7))*((1-F93)^(IF($G$8&gt;0,1,0)))*((1-G93)^($G$9))*((1-H93)^(IF($G$10&gt;0,1,0)))*((1-I93)^($G$11))*((1-J93)^($G$12))*((1-K93)^($G$13))*((1-L93)^($G$14))))*($V$25*V27)</f>
        <v>0</v>
      </c>
      <c r="Y27" s="196" t="s">
        <v>23</v>
      </c>
      <c r="Z27" s="183">
        <v>0</v>
      </c>
      <c r="AA27" s="59" t="s">
        <v>18</v>
      </c>
      <c r="AB27" s="195">
        <f t="shared" ref="AB27:AB52" si="7">(1-(((1-B93)^($H$4))*((1-C93)^(IF($H$5&gt;0,1,0)))*((1-D93)^($H$6/15.2))*((1-E93)^($H$7))*((1-F93)^(IF($H$8&gt;0,1,0)))*((1-G93)^($H$9))*((1-H93)^(IF($H$10&gt;0,1,0)))*((1-I93)^($H$11))*((1-J93)^($H$12))*((1-K93)^($H$13))*((1-L93)^($H$14))))*($Z$25*Z27)</f>
        <v>0</v>
      </c>
      <c r="AC27" s="196" t="s">
        <v>23</v>
      </c>
      <c r="AD27" s="183">
        <v>0</v>
      </c>
      <c r="AE27" s="59" t="s">
        <v>18</v>
      </c>
      <c r="AF27" s="195">
        <f t="shared" ref="AF27:AF52" si="8">(1-(((1-B93)^($I$4))*((1-C93)^(IF($I$5&gt;0,1,0)))*((1-D93)^($I$6/15.2))*((1-E93)^($I$7))*((1-F93)^(IF($I$8&gt;0,1,0)))*((1-G93)^($I$9))*((1-H93)^(IF($I$10&gt;0,1,0)))*((1-I93)^($I$11))*((1-J93)^($I$12))*((1-K93)^($I$13))*((1-L93)^($I$14))))*($AD$25*AD27)</f>
        <v>0</v>
      </c>
      <c r="AG27" s="196" t="s">
        <v>23</v>
      </c>
      <c r="AH27" s="183">
        <v>0</v>
      </c>
      <c r="AI27" s="59" t="s">
        <v>18</v>
      </c>
      <c r="AJ27" s="195">
        <f t="shared" ref="AJ27:AJ52" si="9">(1-(((1-B93)^($J$4))*((1-C93)^(IF($J$5&gt;0,1,0)))*((1-D93)^($J$6/15.2))*((1-E93)^($J$7))*((1-F93)^(IF($J$8&gt;0,1,0)))*((1-G93)^($J$9))*((1-H93)^(IF($J$10&gt;0,1,0)))*((1-I93)^($J$11))*((1-J93)^($J$12))*((1-K93)^($J$13))*((1-L93)^($J$14))))*($AH$25*AH27)</f>
        <v>0</v>
      </c>
      <c r="AK27" s="196" t="s">
        <v>23</v>
      </c>
      <c r="AL27" s="183">
        <v>0</v>
      </c>
      <c r="AM27" s="59" t="s">
        <v>18</v>
      </c>
      <c r="AN27" s="195">
        <f t="shared" ref="AN27:AN52" si="10">(1-(((1-B93)^($K$4))*((1-C93)^(IF($K$5&gt;0,1,0)))*((1-D93)^($K$6/15.2))*((1-E93)^($K$7))*((1-F93)^(IF($K$8&gt;0,1,0)))*((1-G93)^($K$9))*((1-H93)^(IF($K$10&gt;0,1,0)))*((1-I93)^($K$11))*((1-J93)^($K$12))*((1-K93)^($K$13))*((1-L93)^($K$14))))*($AL$25*AL27)</f>
        <v>0</v>
      </c>
      <c r="AO27" s="196" t="s">
        <v>23</v>
      </c>
      <c r="AP27" s="183">
        <v>0</v>
      </c>
      <c r="AQ27" s="59" t="s">
        <v>18</v>
      </c>
      <c r="AR27" s="195">
        <f t="shared" ref="AR27:AR52" si="11">(1-(((1-B93)^($L$4))*((1-C93)^(IF($L$5&gt;0,1,0)))*((1-D93)^($L$6/15.2))*((1-E93)^($L$7))*((1-F93)^(IF($L$8&gt;0,1,0)))*((1-G93)^($L$9))*((1-H93)^(IF($L$10&gt;0,1,0)))*((1-I93)^($L$11))*((1-J93)^($L$12))*((1-K93)^($L$13))*((1-L93)^($L$14))))*($AP$25*AP27)</f>
        <v>0</v>
      </c>
      <c r="AS27" s="196" t="s">
        <v>23</v>
      </c>
      <c r="AT27" s="183">
        <v>0</v>
      </c>
      <c r="AU27" s="59" t="s">
        <v>18</v>
      </c>
      <c r="AV27" s="195">
        <f t="shared" ref="AV27:AV52" si="12">(1-(((1-B93)^($M$4))*((1-C93)^(IF($M$5&gt;0,1,0)))*((1-D93)^($M$6/15.2))*((1-E93)^($M$7))*((1-F93)^(IF($M$8&gt;0,1,0)))*((1-G93)^($M$9))*((1-H93)^(IF($M$10&gt;0,1,0)))*((1-I93)^($M$11))*((1-J93)^($M$12))*((1-K93)^($M$13))*((1-L93)^($M$14))))*($AT$25*AT27)</f>
        <v>0</v>
      </c>
      <c r="AW27" s="196" t="s">
        <v>23</v>
      </c>
      <c r="AX27" s="183">
        <v>0</v>
      </c>
      <c r="AY27" s="59" t="s">
        <v>18</v>
      </c>
      <c r="AZ27" s="195">
        <f t="shared" ref="AZ27:AZ52" si="13">(1-(((1-B93)^($N$4))*((1-C93)^(IF($N$5&gt;0,1,0)))*((1-D93)^($N$6/15.2))*((1-E93)^($N$7))*((1-F93)^(IF($N$8&gt;0,1,0)))*((1-G93)^($N$9))*((1-H93)^(IF($N$10&gt;0,1,0)))*((1-I93)^($N$11))*((1-J93)^($N$12))*((1-K93)^($N$13))*((1-L93)^($N$14))))*($AX$25*AX27)</f>
        <v>0</v>
      </c>
      <c r="BA27" s="196" t="s">
        <v>23</v>
      </c>
      <c r="BB27" s="183">
        <v>0</v>
      </c>
      <c r="BC27" s="59" t="s">
        <v>18</v>
      </c>
      <c r="BD27" s="195">
        <f t="shared" ref="BD27:BD52" si="14">(1-(((1-B93)^($O$4))*((1-C93)^(IF($O$5&gt;0,1,0)))*((1-D93)^($O$6/15.2))*((1-E93)^($O$7))*((1-F93)^(IF($O$8&gt;0,1,0)))*((1-G93)^($O$9))*((1-H93)^(IF($O$10&gt;0,1,0)))*((1-I93)^($O$11))*((1-J93)^($O$12))*((1-K93)^($O$13))*((1-L93)^($O$14))))*($BB$25*BB27)</f>
        <v>0</v>
      </c>
      <c r="BE27" s="196" t="s">
        <v>23</v>
      </c>
      <c r="BF27" s="183">
        <v>0</v>
      </c>
      <c r="BG27" s="59" t="s">
        <v>18</v>
      </c>
      <c r="BH27" s="195">
        <f t="shared" ref="BH27:BH52" si="15">(1-(((1-B93)^($P$4))*((1-C93)^(IF($P$5&gt;0,1,0)))*((1-D93)^($P$6/15.2))*((1-E93)^($P$7))*((1-F93)^(IF($P$8&gt;0,1,0)))*((1-G93)^($P$9))*((1-H93)^(IF($P$10&gt;0,1,0)))*((1-I93)^($P$11))*((1-J93)^($P$12))*((1-K93)^($P$13))*((1-L93)^($P$14))))*($BF$25*BF27)</f>
        <v>0</v>
      </c>
      <c r="BI27" s="196" t="s">
        <v>23</v>
      </c>
      <c r="BJ27" s="183">
        <v>0</v>
      </c>
      <c r="BK27" s="59" t="s">
        <v>18</v>
      </c>
      <c r="BL27" s="195">
        <f t="shared" ref="BL27:BL52" si="16">(1-(((1-B93)^($Q$4))*((1-C93)^(IF($Q$5&gt;0,1,0)))*((1-D93)^($Q$6/15.2))*((1-E93)^($Q$7))*((1-F93)^(IF($Q$8&gt;0,1,0)))*((1-G93)^($Q$9))*((1-H93)^(IF($Q$10&gt;0,1,0)))*((1-I93)^($Q$11))*((1-J93)^($Q$12))*((1-K93)^($Q$13))*((1-L93)^($Q$14))))*($BJ$25*BJ27)</f>
        <v>0</v>
      </c>
      <c r="BM27" s="196" t="s">
        <v>23</v>
      </c>
      <c r="BN27" s="183">
        <v>0</v>
      </c>
      <c r="BO27" s="59" t="s">
        <v>18</v>
      </c>
      <c r="BP27" s="195">
        <f t="shared" ref="BP27:BP52" si="17">(1-(((1-B93)^($R$4))*((1-C93)^(IF($R$5&gt;0,1,0)))*((1-D93)^($R$6/15.2))*((1-E93)^($R$7))*((1-F93)^(IF($R$8&gt;0,1,0)))*((1-G93)^($R$9))*((1-H93)^(IF($R$10&gt;0,1,0)))*((1-I93)^($R$11))*((1-J93)^($R$12))*((1-K93)^($R$13))*((1-L93)^($R$14))))*($BN$25*BN27)</f>
        <v>0</v>
      </c>
      <c r="BQ27" s="196" t="s">
        <v>23</v>
      </c>
      <c r="BR27" s="183">
        <v>0</v>
      </c>
      <c r="BS27" s="59" t="s">
        <v>18</v>
      </c>
      <c r="BT27" s="195">
        <f t="shared" ref="BT27:BT52" si="18">(1-(((1-B93)^($S$4))*((1-C93)^(IF($S$5&gt;0,1,0)))*((1-D93)^($S$6/15.2))*((1-E93)^($S$7))*((1-F93)^(IF($S$8&gt;0,1,0)))*((1-G93)^($S$9))*((1-H93)^(IF($S$10&gt;0,1,0)))*((1-I93)^($S$11))*((1-J93)^($S$12))*((1-K93)^($S$13))*((1-L93)^($S$14))))*($BR$25*BR27)</f>
        <v>0</v>
      </c>
      <c r="BU27" s="196" t="s">
        <v>23</v>
      </c>
      <c r="BV27" s="183">
        <v>0</v>
      </c>
      <c r="BW27" s="59" t="s">
        <v>18</v>
      </c>
      <c r="BX27" s="195">
        <f t="shared" ref="BX27:BX52" si="19">(1-(((1-B93)^($T$4))*((1-C93)^(IF($T$5&gt;0,1,0)))*((1-D93)^($T$6/15.2))*((1-E93)^($T$7))*((1-F93)^(IF($T$8&gt;0,1,0)))*((1-G93)^($T$9))*((1-H93)^(IF($T$10&gt;0,1,0)))*((1-I93)^($T$11))*((1-J93)^($T$12))*((1-K93)^($T$13))*((1-L93)^($T$14))))*($BV$25*BV27)</f>
        <v>0</v>
      </c>
      <c r="BY27" s="196" t="s">
        <v>23</v>
      </c>
      <c r="BZ27" s="183">
        <v>0</v>
      </c>
      <c r="CA27" s="59" t="s">
        <v>18</v>
      </c>
      <c r="CB27" s="195">
        <f t="shared" ref="CB27:CB52" si="20">(1-(((1-B93)^($U$4))*((1-C93)^(IF($U$5&gt;0,1,0)))*((1-D93)^($U$6/15.2))*((1-E93)^($U$7))*((1-F93)^(IF($U$8&gt;0,1,0)))*((1-G93)^($U$9))*((1-H93)^(IF($U$10&gt;0,1,0)))*((1-I93)^($U$11))*((1-J93)^($U$12))*((1-K93)^($U$13))*((1-L93)^($U$14))))*($BZ$25*BZ27)</f>
        <v>0</v>
      </c>
      <c r="CC27" s="196" t="s">
        <v>23</v>
      </c>
    </row>
    <row r="28" spans="1:81" ht="14.25">
      <c r="A28" s="178" t="s">
        <v>6</v>
      </c>
      <c r="B28" s="183">
        <v>1</v>
      </c>
      <c r="C28" s="59" t="s">
        <v>18</v>
      </c>
      <c r="D28" s="271">
        <f t="shared" si="1"/>
        <v>0</v>
      </c>
      <c r="E28" s="196" t="s">
        <v>23</v>
      </c>
      <c r="F28" s="183">
        <v>0</v>
      </c>
      <c r="G28" s="59" t="s">
        <v>18</v>
      </c>
      <c r="H28" s="195">
        <f t="shared" si="2"/>
        <v>0</v>
      </c>
      <c r="I28" s="196" t="s">
        <v>23</v>
      </c>
      <c r="J28" s="183">
        <v>0</v>
      </c>
      <c r="K28" s="59" t="s">
        <v>18</v>
      </c>
      <c r="L28" s="195">
        <f t="shared" si="3"/>
        <v>0</v>
      </c>
      <c r="M28" s="196" t="s">
        <v>23</v>
      </c>
      <c r="N28" s="183">
        <v>0</v>
      </c>
      <c r="O28" s="59" t="s">
        <v>18</v>
      </c>
      <c r="P28" s="195">
        <f t="shared" si="4"/>
        <v>0</v>
      </c>
      <c r="Q28" s="196" t="s">
        <v>23</v>
      </c>
      <c r="R28" s="183">
        <v>0</v>
      </c>
      <c r="S28" s="59" t="s">
        <v>18</v>
      </c>
      <c r="T28" s="195">
        <f t="shared" si="5"/>
        <v>0</v>
      </c>
      <c r="U28" s="196" t="s">
        <v>23</v>
      </c>
      <c r="V28" s="183">
        <v>0</v>
      </c>
      <c r="W28" s="59" t="s">
        <v>18</v>
      </c>
      <c r="X28" s="195">
        <f t="shared" si="6"/>
        <v>0</v>
      </c>
      <c r="Y28" s="196" t="s">
        <v>23</v>
      </c>
      <c r="Z28" s="183">
        <v>0</v>
      </c>
      <c r="AA28" s="59" t="s">
        <v>18</v>
      </c>
      <c r="AB28" s="195">
        <f t="shared" si="7"/>
        <v>0</v>
      </c>
      <c r="AC28" s="196" t="s">
        <v>23</v>
      </c>
      <c r="AD28" s="183">
        <v>0</v>
      </c>
      <c r="AE28" s="59" t="s">
        <v>18</v>
      </c>
      <c r="AF28" s="195">
        <f t="shared" si="8"/>
        <v>0</v>
      </c>
      <c r="AG28" s="196" t="s">
        <v>23</v>
      </c>
      <c r="AH28" s="183">
        <v>0</v>
      </c>
      <c r="AI28" s="59" t="s">
        <v>18</v>
      </c>
      <c r="AJ28" s="195">
        <f t="shared" si="9"/>
        <v>0</v>
      </c>
      <c r="AK28" s="196" t="s">
        <v>23</v>
      </c>
      <c r="AL28" s="183">
        <v>0</v>
      </c>
      <c r="AM28" s="59" t="s">
        <v>18</v>
      </c>
      <c r="AN28" s="195">
        <f t="shared" si="10"/>
        <v>0</v>
      </c>
      <c r="AO28" s="196" t="s">
        <v>23</v>
      </c>
      <c r="AP28" s="183">
        <v>0</v>
      </c>
      <c r="AQ28" s="59" t="s">
        <v>18</v>
      </c>
      <c r="AR28" s="195">
        <f t="shared" si="11"/>
        <v>0</v>
      </c>
      <c r="AS28" s="196" t="s">
        <v>23</v>
      </c>
      <c r="AT28" s="183">
        <v>0</v>
      </c>
      <c r="AU28" s="59" t="s">
        <v>18</v>
      </c>
      <c r="AV28" s="195">
        <f t="shared" si="12"/>
        <v>0</v>
      </c>
      <c r="AW28" s="196" t="s">
        <v>23</v>
      </c>
      <c r="AX28" s="183">
        <v>0</v>
      </c>
      <c r="AY28" s="59" t="s">
        <v>18</v>
      </c>
      <c r="AZ28" s="195">
        <f t="shared" si="13"/>
        <v>0</v>
      </c>
      <c r="BA28" s="196" t="s">
        <v>23</v>
      </c>
      <c r="BB28" s="183">
        <v>0</v>
      </c>
      <c r="BC28" s="59" t="s">
        <v>18</v>
      </c>
      <c r="BD28" s="195">
        <f t="shared" si="14"/>
        <v>0</v>
      </c>
      <c r="BE28" s="196" t="s">
        <v>23</v>
      </c>
      <c r="BF28" s="183">
        <v>0</v>
      </c>
      <c r="BG28" s="59" t="s">
        <v>18</v>
      </c>
      <c r="BH28" s="195">
        <f t="shared" si="15"/>
        <v>0</v>
      </c>
      <c r="BI28" s="196" t="s">
        <v>23</v>
      </c>
      <c r="BJ28" s="183">
        <v>0</v>
      </c>
      <c r="BK28" s="59" t="s">
        <v>18</v>
      </c>
      <c r="BL28" s="195">
        <f t="shared" si="16"/>
        <v>0</v>
      </c>
      <c r="BM28" s="196" t="s">
        <v>23</v>
      </c>
      <c r="BN28" s="183">
        <v>0</v>
      </c>
      <c r="BO28" s="59" t="s">
        <v>18</v>
      </c>
      <c r="BP28" s="195">
        <f t="shared" si="17"/>
        <v>0</v>
      </c>
      <c r="BQ28" s="196" t="s">
        <v>23</v>
      </c>
      <c r="BR28" s="183">
        <v>0</v>
      </c>
      <c r="BS28" s="59" t="s">
        <v>18</v>
      </c>
      <c r="BT28" s="195">
        <f t="shared" si="18"/>
        <v>0</v>
      </c>
      <c r="BU28" s="196" t="s">
        <v>23</v>
      </c>
      <c r="BV28" s="183">
        <v>0</v>
      </c>
      <c r="BW28" s="59" t="s">
        <v>18</v>
      </c>
      <c r="BX28" s="195">
        <f t="shared" si="19"/>
        <v>0</v>
      </c>
      <c r="BY28" s="196" t="s">
        <v>23</v>
      </c>
      <c r="BZ28" s="183">
        <v>0</v>
      </c>
      <c r="CA28" s="59" t="s">
        <v>18</v>
      </c>
      <c r="CB28" s="195">
        <f t="shared" si="20"/>
        <v>0</v>
      </c>
      <c r="CC28" s="196" t="s">
        <v>23</v>
      </c>
    </row>
    <row r="29" spans="1:81" ht="14.25">
      <c r="A29" s="178" t="s">
        <v>13</v>
      </c>
      <c r="B29" s="183">
        <v>1</v>
      </c>
      <c r="C29" s="59" t="s">
        <v>18</v>
      </c>
      <c r="D29" s="271">
        <f t="shared" si="1"/>
        <v>0</v>
      </c>
      <c r="E29" s="196" t="s">
        <v>23</v>
      </c>
      <c r="F29" s="183">
        <v>0</v>
      </c>
      <c r="G29" s="59" t="s">
        <v>18</v>
      </c>
      <c r="H29" s="195">
        <f t="shared" si="2"/>
        <v>0</v>
      </c>
      <c r="I29" s="196" t="s">
        <v>23</v>
      </c>
      <c r="J29" s="183">
        <v>0</v>
      </c>
      <c r="K29" s="59" t="s">
        <v>18</v>
      </c>
      <c r="L29" s="195">
        <f t="shared" si="3"/>
        <v>0</v>
      </c>
      <c r="M29" s="196" t="s">
        <v>23</v>
      </c>
      <c r="N29" s="183">
        <v>0</v>
      </c>
      <c r="O29" s="59" t="s">
        <v>18</v>
      </c>
      <c r="P29" s="195">
        <f t="shared" si="4"/>
        <v>0</v>
      </c>
      <c r="Q29" s="196" t="s">
        <v>23</v>
      </c>
      <c r="R29" s="183">
        <v>0</v>
      </c>
      <c r="S29" s="59" t="s">
        <v>18</v>
      </c>
      <c r="T29" s="195">
        <f t="shared" si="5"/>
        <v>0</v>
      </c>
      <c r="U29" s="196" t="s">
        <v>23</v>
      </c>
      <c r="V29" s="183">
        <v>0</v>
      </c>
      <c r="W29" s="59" t="s">
        <v>18</v>
      </c>
      <c r="X29" s="195">
        <f t="shared" si="6"/>
        <v>0</v>
      </c>
      <c r="Y29" s="196" t="s">
        <v>23</v>
      </c>
      <c r="Z29" s="183">
        <v>0</v>
      </c>
      <c r="AA29" s="59" t="s">
        <v>18</v>
      </c>
      <c r="AB29" s="195">
        <f t="shared" si="7"/>
        <v>0</v>
      </c>
      <c r="AC29" s="196" t="s">
        <v>23</v>
      </c>
      <c r="AD29" s="183">
        <v>0</v>
      </c>
      <c r="AE29" s="59" t="s">
        <v>18</v>
      </c>
      <c r="AF29" s="195">
        <f t="shared" si="8"/>
        <v>0</v>
      </c>
      <c r="AG29" s="196" t="s">
        <v>23</v>
      </c>
      <c r="AH29" s="183">
        <v>0</v>
      </c>
      <c r="AI29" s="59" t="s">
        <v>18</v>
      </c>
      <c r="AJ29" s="195">
        <f t="shared" si="9"/>
        <v>0</v>
      </c>
      <c r="AK29" s="196" t="s">
        <v>23</v>
      </c>
      <c r="AL29" s="183">
        <v>0</v>
      </c>
      <c r="AM29" s="59" t="s">
        <v>18</v>
      </c>
      <c r="AN29" s="195">
        <f t="shared" si="10"/>
        <v>0</v>
      </c>
      <c r="AO29" s="196" t="s">
        <v>23</v>
      </c>
      <c r="AP29" s="183">
        <v>0</v>
      </c>
      <c r="AQ29" s="59" t="s">
        <v>18</v>
      </c>
      <c r="AR29" s="195">
        <f t="shared" si="11"/>
        <v>0</v>
      </c>
      <c r="AS29" s="196" t="s">
        <v>23</v>
      </c>
      <c r="AT29" s="183">
        <v>0</v>
      </c>
      <c r="AU29" s="59" t="s">
        <v>18</v>
      </c>
      <c r="AV29" s="195">
        <f t="shared" si="12"/>
        <v>0</v>
      </c>
      <c r="AW29" s="196" t="s">
        <v>23</v>
      </c>
      <c r="AX29" s="183">
        <v>0</v>
      </c>
      <c r="AY29" s="59" t="s">
        <v>18</v>
      </c>
      <c r="AZ29" s="195">
        <f t="shared" si="13"/>
        <v>0</v>
      </c>
      <c r="BA29" s="196" t="s">
        <v>23</v>
      </c>
      <c r="BB29" s="183">
        <v>0</v>
      </c>
      <c r="BC29" s="59" t="s">
        <v>18</v>
      </c>
      <c r="BD29" s="195">
        <f t="shared" si="14"/>
        <v>0</v>
      </c>
      <c r="BE29" s="196" t="s">
        <v>23</v>
      </c>
      <c r="BF29" s="183">
        <v>0</v>
      </c>
      <c r="BG29" s="59" t="s">
        <v>18</v>
      </c>
      <c r="BH29" s="195">
        <f t="shared" si="15"/>
        <v>0</v>
      </c>
      <c r="BI29" s="196" t="s">
        <v>23</v>
      </c>
      <c r="BJ29" s="183">
        <v>0</v>
      </c>
      <c r="BK29" s="59" t="s">
        <v>18</v>
      </c>
      <c r="BL29" s="195">
        <f t="shared" si="16"/>
        <v>0</v>
      </c>
      <c r="BM29" s="196" t="s">
        <v>23</v>
      </c>
      <c r="BN29" s="183">
        <v>0</v>
      </c>
      <c r="BO29" s="59" t="s">
        <v>18</v>
      </c>
      <c r="BP29" s="195">
        <f t="shared" si="17"/>
        <v>0</v>
      </c>
      <c r="BQ29" s="196" t="s">
        <v>23</v>
      </c>
      <c r="BR29" s="183">
        <v>0</v>
      </c>
      <c r="BS29" s="59" t="s">
        <v>18</v>
      </c>
      <c r="BT29" s="195">
        <f t="shared" si="18"/>
        <v>0</v>
      </c>
      <c r="BU29" s="196" t="s">
        <v>23</v>
      </c>
      <c r="BV29" s="183">
        <v>0</v>
      </c>
      <c r="BW29" s="59" t="s">
        <v>18</v>
      </c>
      <c r="BX29" s="195">
        <f t="shared" si="19"/>
        <v>0</v>
      </c>
      <c r="BY29" s="196" t="s">
        <v>23</v>
      </c>
      <c r="BZ29" s="183">
        <v>0</v>
      </c>
      <c r="CA29" s="59" t="s">
        <v>18</v>
      </c>
      <c r="CB29" s="195">
        <f t="shared" si="20"/>
        <v>0</v>
      </c>
      <c r="CC29" s="196" t="s">
        <v>23</v>
      </c>
    </row>
    <row r="30" spans="1:81" ht="14.25">
      <c r="A30" s="177" t="s">
        <v>69</v>
      </c>
      <c r="B30" s="183">
        <v>1</v>
      </c>
      <c r="C30" s="59" t="s">
        <v>18</v>
      </c>
      <c r="D30" s="271">
        <f t="shared" si="1"/>
        <v>0</v>
      </c>
      <c r="E30" s="196" t="s">
        <v>23</v>
      </c>
      <c r="F30" s="183">
        <v>0</v>
      </c>
      <c r="G30" s="59" t="s">
        <v>18</v>
      </c>
      <c r="H30" s="195">
        <f t="shared" si="2"/>
        <v>0</v>
      </c>
      <c r="I30" s="196" t="s">
        <v>23</v>
      </c>
      <c r="J30" s="183">
        <v>0</v>
      </c>
      <c r="K30" s="59" t="s">
        <v>18</v>
      </c>
      <c r="L30" s="195">
        <f t="shared" si="3"/>
        <v>0</v>
      </c>
      <c r="M30" s="196" t="s">
        <v>23</v>
      </c>
      <c r="N30" s="183">
        <v>0</v>
      </c>
      <c r="O30" s="59" t="s">
        <v>18</v>
      </c>
      <c r="P30" s="195">
        <f t="shared" si="4"/>
        <v>0</v>
      </c>
      <c r="Q30" s="196" t="s">
        <v>23</v>
      </c>
      <c r="R30" s="183">
        <v>0</v>
      </c>
      <c r="S30" s="59" t="s">
        <v>18</v>
      </c>
      <c r="T30" s="195">
        <f t="shared" si="5"/>
        <v>0</v>
      </c>
      <c r="U30" s="196" t="s">
        <v>23</v>
      </c>
      <c r="V30" s="183">
        <v>0</v>
      </c>
      <c r="W30" s="59" t="s">
        <v>18</v>
      </c>
      <c r="X30" s="195">
        <f t="shared" si="6"/>
        <v>0</v>
      </c>
      <c r="Y30" s="196" t="s">
        <v>23</v>
      </c>
      <c r="Z30" s="183">
        <v>0</v>
      </c>
      <c r="AA30" s="59" t="s">
        <v>18</v>
      </c>
      <c r="AB30" s="195">
        <f t="shared" si="7"/>
        <v>0</v>
      </c>
      <c r="AC30" s="196" t="s">
        <v>23</v>
      </c>
      <c r="AD30" s="183">
        <v>0</v>
      </c>
      <c r="AE30" s="59" t="s">
        <v>18</v>
      </c>
      <c r="AF30" s="195">
        <f t="shared" si="8"/>
        <v>0</v>
      </c>
      <c r="AG30" s="196" t="s">
        <v>23</v>
      </c>
      <c r="AH30" s="183">
        <v>0</v>
      </c>
      <c r="AI30" s="59" t="s">
        <v>18</v>
      </c>
      <c r="AJ30" s="195">
        <f t="shared" si="9"/>
        <v>0</v>
      </c>
      <c r="AK30" s="196" t="s">
        <v>23</v>
      </c>
      <c r="AL30" s="183">
        <v>0</v>
      </c>
      <c r="AM30" s="59" t="s">
        <v>18</v>
      </c>
      <c r="AN30" s="195">
        <f t="shared" si="10"/>
        <v>0</v>
      </c>
      <c r="AO30" s="196" t="s">
        <v>23</v>
      </c>
      <c r="AP30" s="183">
        <v>0</v>
      </c>
      <c r="AQ30" s="59" t="s">
        <v>18</v>
      </c>
      <c r="AR30" s="195">
        <f t="shared" si="11"/>
        <v>0</v>
      </c>
      <c r="AS30" s="196" t="s">
        <v>23</v>
      </c>
      <c r="AT30" s="183">
        <v>0</v>
      </c>
      <c r="AU30" s="59" t="s">
        <v>18</v>
      </c>
      <c r="AV30" s="195">
        <f t="shared" si="12"/>
        <v>0</v>
      </c>
      <c r="AW30" s="196" t="s">
        <v>23</v>
      </c>
      <c r="AX30" s="183">
        <v>0</v>
      </c>
      <c r="AY30" s="59" t="s">
        <v>18</v>
      </c>
      <c r="AZ30" s="195">
        <f t="shared" si="13"/>
        <v>0</v>
      </c>
      <c r="BA30" s="196" t="s">
        <v>23</v>
      </c>
      <c r="BB30" s="183">
        <v>0</v>
      </c>
      <c r="BC30" s="59" t="s">
        <v>18</v>
      </c>
      <c r="BD30" s="195">
        <f t="shared" si="14"/>
        <v>0</v>
      </c>
      <c r="BE30" s="196" t="s">
        <v>23</v>
      </c>
      <c r="BF30" s="183">
        <v>0</v>
      </c>
      <c r="BG30" s="59" t="s">
        <v>18</v>
      </c>
      <c r="BH30" s="195">
        <f t="shared" si="15"/>
        <v>0</v>
      </c>
      <c r="BI30" s="196" t="s">
        <v>23</v>
      </c>
      <c r="BJ30" s="183">
        <v>0</v>
      </c>
      <c r="BK30" s="59" t="s">
        <v>18</v>
      </c>
      <c r="BL30" s="195">
        <f t="shared" si="16"/>
        <v>0</v>
      </c>
      <c r="BM30" s="196" t="s">
        <v>23</v>
      </c>
      <c r="BN30" s="183">
        <v>0</v>
      </c>
      <c r="BO30" s="59" t="s">
        <v>18</v>
      </c>
      <c r="BP30" s="195">
        <f t="shared" si="17"/>
        <v>0</v>
      </c>
      <c r="BQ30" s="196" t="s">
        <v>23</v>
      </c>
      <c r="BR30" s="183">
        <v>0</v>
      </c>
      <c r="BS30" s="59" t="s">
        <v>18</v>
      </c>
      <c r="BT30" s="195">
        <f t="shared" si="18"/>
        <v>0</v>
      </c>
      <c r="BU30" s="196" t="s">
        <v>23</v>
      </c>
      <c r="BV30" s="183">
        <v>0</v>
      </c>
      <c r="BW30" s="59" t="s">
        <v>18</v>
      </c>
      <c r="BX30" s="195">
        <f t="shared" si="19"/>
        <v>0</v>
      </c>
      <c r="BY30" s="196" t="s">
        <v>23</v>
      </c>
      <c r="BZ30" s="183">
        <v>0</v>
      </c>
      <c r="CA30" s="59" t="s">
        <v>18</v>
      </c>
      <c r="CB30" s="195">
        <f t="shared" si="20"/>
        <v>0</v>
      </c>
      <c r="CC30" s="196" t="s">
        <v>23</v>
      </c>
    </row>
    <row r="31" spans="1:81" ht="14.25">
      <c r="A31" s="178" t="s">
        <v>9</v>
      </c>
      <c r="B31" s="183">
        <v>1</v>
      </c>
      <c r="C31" s="59" t="s">
        <v>18</v>
      </c>
      <c r="D31" s="271">
        <f t="shared" si="1"/>
        <v>0</v>
      </c>
      <c r="E31" s="196" t="s">
        <v>23</v>
      </c>
      <c r="F31" s="183">
        <v>0</v>
      </c>
      <c r="G31" s="59" t="s">
        <v>18</v>
      </c>
      <c r="H31" s="195">
        <f t="shared" si="2"/>
        <v>0</v>
      </c>
      <c r="I31" s="196" t="s">
        <v>23</v>
      </c>
      <c r="J31" s="183">
        <v>0</v>
      </c>
      <c r="K31" s="59" t="s">
        <v>18</v>
      </c>
      <c r="L31" s="195">
        <f t="shared" si="3"/>
        <v>0</v>
      </c>
      <c r="M31" s="196" t="s">
        <v>23</v>
      </c>
      <c r="N31" s="183">
        <v>0</v>
      </c>
      <c r="O31" s="59" t="s">
        <v>18</v>
      </c>
      <c r="P31" s="195">
        <f t="shared" si="4"/>
        <v>0</v>
      </c>
      <c r="Q31" s="196" t="s">
        <v>23</v>
      </c>
      <c r="R31" s="183">
        <v>0</v>
      </c>
      <c r="S31" s="59" t="s">
        <v>18</v>
      </c>
      <c r="T31" s="195">
        <f t="shared" si="5"/>
        <v>0</v>
      </c>
      <c r="U31" s="196" t="s">
        <v>23</v>
      </c>
      <c r="V31" s="183">
        <v>0</v>
      </c>
      <c r="W31" s="59" t="s">
        <v>18</v>
      </c>
      <c r="X31" s="195">
        <f t="shared" si="6"/>
        <v>0</v>
      </c>
      <c r="Y31" s="196" t="s">
        <v>23</v>
      </c>
      <c r="Z31" s="183">
        <v>0</v>
      </c>
      <c r="AA31" s="59" t="s">
        <v>18</v>
      </c>
      <c r="AB31" s="195">
        <f t="shared" si="7"/>
        <v>0</v>
      </c>
      <c r="AC31" s="196" t="s">
        <v>23</v>
      </c>
      <c r="AD31" s="183">
        <v>0</v>
      </c>
      <c r="AE31" s="59" t="s">
        <v>18</v>
      </c>
      <c r="AF31" s="195">
        <f t="shared" si="8"/>
        <v>0</v>
      </c>
      <c r="AG31" s="196" t="s">
        <v>23</v>
      </c>
      <c r="AH31" s="183">
        <v>0</v>
      </c>
      <c r="AI31" s="59" t="s">
        <v>18</v>
      </c>
      <c r="AJ31" s="195">
        <f t="shared" si="9"/>
        <v>0</v>
      </c>
      <c r="AK31" s="196" t="s">
        <v>23</v>
      </c>
      <c r="AL31" s="183">
        <v>0</v>
      </c>
      <c r="AM31" s="59" t="s">
        <v>18</v>
      </c>
      <c r="AN31" s="195">
        <f t="shared" si="10"/>
        <v>0</v>
      </c>
      <c r="AO31" s="196" t="s">
        <v>23</v>
      </c>
      <c r="AP31" s="183">
        <v>0</v>
      </c>
      <c r="AQ31" s="59" t="s">
        <v>18</v>
      </c>
      <c r="AR31" s="195">
        <f t="shared" si="11"/>
        <v>0</v>
      </c>
      <c r="AS31" s="196" t="s">
        <v>23</v>
      </c>
      <c r="AT31" s="183">
        <v>0</v>
      </c>
      <c r="AU31" s="59" t="s">
        <v>18</v>
      </c>
      <c r="AV31" s="195">
        <f t="shared" si="12"/>
        <v>0</v>
      </c>
      <c r="AW31" s="196" t="s">
        <v>23</v>
      </c>
      <c r="AX31" s="183">
        <v>0</v>
      </c>
      <c r="AY31" s="59" t="s">
        <v>18</v>
      </c>
      <c r="AZ31" s="195">
        <f t="shared" si="13"/>
        <v>0</v>
      </c>
      <c r="BA31" s="196" t="s">
        <v>23</v>
      </c>
      <c r="BB31" s="183">
        <v>0</v>
      </c>
      <c r="BC31" s="59" t="s">
        <v>18</v>
      </c>
      <c r="BD31" s="195">
        <f t="shared" si="14"/>
        <v>0</v>
      </c>
      <c r="BE31" s="196" t="s">
        <v>23</v>
      </c>
      <c r="BF31" s="183">
        <v>0</v>
      </c>
      <c r="BG31" s="59" t="s">
        <v>18</v>
      </c>
      <c r="BH31" s="195">
        <f t="shared" si="15"/>
        <v>0</v>
      </c>
      <c r="BI31" s="196" t="s">
        <v>23</v>
      </c>
      <c r="BJ31" s="183">
        <v>0</v>
      </c>
      <c r="BK31" s="59" t="s">
        <v>18</v>
      </c>
      <c r="BL31" s="195">
        <f t="shared" si="16"/>
        <v>0</v>
      </c>
      <c r="BM31" s="196" t="s">
        <v>23</v>
      </c>
      <c r="BN31" s="183">
        <v>0</v>
      </c>
      <c r="BO31" s="59" t="s">
        <v>18</v>
      </c>
      <c r="BP31" s="195">
        <f t="shared" si="17"/>
        <v>0</v>
      </c>
      <c r="BQ31" s="196" t="s">
        <v>23</v>
      </c>
      <c r="BR31" s="183">
        <v>0</v>
      </c>
      <c r="BS31" s="59" t="s">
        <v>18</v>
      </c>
      <c r="BT31" s="195">
        <f t="shared" si="18"/>
        <v>0</v>
      </c>
      <c r="BU31" s="196" t="s">
        <v>23</v>
      </c>
      <c r="BV31" s="183">
        <v>0</v>
      </c>
      <c r="BW31" s="59" t="s">
        <v>18</v>
      </c>
      <c r="BX31" s="195">
        <f t="shared" si="19"/>
        <v>0</v>
      </c>
      <c r="BY31" s="196" t="s">
        <v>23</v>
      </c>
      <c r="BZ31" s="183">
        <v>0</v>
      </c>
      <c r="CA31" s="59" t="s">
        <v>18</v>
      </c>
      <c r="CB31" s="195">
        <f t="shared" si="20"/>
        <v>0</v>
      </c>
      <c r="CC31" s="196" t="s">
        <v>23</v>
      </c>
    </row>
    <row r="32" spans="1:81" ht="14.25">
      <c r="A32" s="179" t="s">
        <v>7</v>
      </c>
      <c r="B32" s="183">
        <v>1</v>
      </c>
      <c r="C32" s="59" t="s">
        <v>18</v>
      </c>
      <c r="D32" s="271">
        <f t="shared" si="1"/>
        <v>0</v>
      </c>
      <c r="E32" s="196" t="s">
        <v>23</v>
      </c>
      <c r="F32" s="183">
        <v>0</v>
      </c>
      <c r="G32" s="59" t="s">
        <v>18</v>
      </c>
      <c r="H32" s="195">
        <f t="shared" si="2"/>
        <v>0</v>
      </c>
      <c r="I32" s="196" t="s">
        <v>23</v>
      </c>
      <c r="J32" s="183">
        <v>0</v>
      </c>
      <c r="K32" s="59" t="s">
        <v>18</v>
      </c>
      <c r="L32" s="195">
        <f t="shared" si="3"/>
        <v>0</v>
      </c>
      <c r="M32" s="196" t="s">
        <v>23</v>
      </c>
      <c r="N32" s="183">
        <v>0</v>
      </c>
      <c r="O32" s="59" t="s">
        <v>18</v>
      </c>
      <c r="P32" s="195">
        <f t="shared" si="4"/>
        <v>0</v>
      </c>
      <c r="Q32" s="196" t="s">
        <v>23</v>
      </c>
      <c r="R32" s="183">
        <v>0</v>
      </c>
      <c r="S32" s="59" t="s">
        <v>18</v>
      </c>
      <c r="T32" s="195">
        <f t="shared" si="5"/>
        <v>0</v>
      </c>
      <c r="U32" s="196" t="s">
        <v>23</v>
      </c>
      <c r="V32" s="183">
        <v>0</v>
      </c>
      <c r="W32" s="59" t="s">
        <v>18</v>
      </c>
      <c r="X32" s="195">
        <f t="shared" si="6"/>
        <v>0</v>
      </c>
      <c r="Y32" s="196" t="s">
        <v>23</v>
      </c>
      <c r="Z32" s="183">
        <v>0</v>
      </c>
      <c r="AA32" s="59" t="s">
        <v>18</v>
      </c>
      <c r="AB32" s="195">
        <f t="shared" si="7"/>
        <v>0</v>
      </c>
      <c r="AC32" s="196" t="s">
        <v>23</v>
      </c>
      <c r="AD32" s="183">
        <v>0</v>
      </c>
      <c r="AE32" s="59" t="s">
        <v>18</v>
      </c>
      <c r="AF32" s="195">
        <f t="shared" si="8"/>
        <v>0</v>
      </c>
      <c r="AG32" s="196" t="s">
        <v>23</v>
      </c>
      <c r="AH32" s="183">
        <v>0</v>
      </c>
      <c r="AI32" s="59" t="s">
        <v>18</v>
      </c>
      <c r="AJ32" s="195">
        <f t="shared" si="9"/>
        <v>0</v>
      </c>
      <c r="AK32" s="196" t="s">
        <v>23</v>
      </c>
      <c r="AL32" s="183">
        <v>0</v>
      </c>
      <c r="AM32" s="59" t="s">
        <v>18</v>
      </c>
      <c r="AN32" s="195">
        <f t="shared" si="10"/>
        <v>0</v>
      </c>
      <c r="AO32" s="196" t="s">
        <v>23</v>
      </c>
      <c r="AP32" s="183">
        <v>0</v>
      </c>
      <c r="AQ32" s="59" t="s">
        <v>18</v>
      </c>
      <c r="AR32" s="195">
        <f t="shared" si="11"/>
        <v>0</v>
      </c>
      <c r="AS32" s="196" t="s">
        <v>23</v>
      </c>
      <c r="AT32" s="183">
        <v>0</v>
      </c>
      <c r="AU32" s="59" t="s">
        <v>18</v>
      </c>
      <c r="AV32" s="195">
        <f t="shared" si="12"/>
        <v>0</v>
      </c>
      <c r="AW32" s="196" t="s">
        <v>23</v>
      </c>
      <c r="AX32" s="183">
        <v>0</v>
      </c>
      <c r="AY32" s="59" t="s">
        <v>18</v>
      </c>
      <c r="AZ32" s="195">
        <f t="shared" si="13"/>
        <v>0</v>
      </c>
      <c r="BA32" s="196" t="s">
        <v>23</v>
      </c>
      <c r="BB32" s="183">
        <v>0</v>
      </c>
      <c r="BC32" s="59" t="s">
        <v>18</v>
      </c>
      <c r="BD32" s="195">
        <f t="shared" si="14"/>
        <v>0</v>
      </c>
      <c r="BE32" s="196" t="s">
        <v>23</v>
      </c>
      <c r="BF32" s="183">
        <v>0</v>
      </c>
      <c r="BG32" s="59" t="s">
        <v>18</v>
      </c>
      <c r="BH32" s="195">
        <f t="shared" si="15"/>
        <v>0</v>
      </c>
      <c r="BI32" s="196" t="s">
        <v>23</v>
      </c>
      <c r="BJ32" s="183">
        <v>0</v>
      </c>
      <c r="BK32" s="59" t="s">
        <v>18</v>
      </c>
      <c r="BL32" s="195">
        <f t="shared" si="16"/>
        <v>0</v>
      </c>
      <c r="BM32" s="196" t="s">
        <v>23</v>
      </c>
      <c r="BN32" s="183">
        <v>0</v>
      </c>
      <c r="BO32" s="59" t="s">
        <v>18</v>
      </c>
      <c r="BP32" s="195">
        <f t="shared" si="17"/>
        <v>0</v>
      </c>
      <c r="BQ32" s="196" t="s">
        <v>23</v>
      </c>
      <c r="BR32" s="183">
        <v>0</v>
      </c>
      <c r="BS32" s="59" t="s">
        <v>18</v>
      </c>
      <c r="BT32" s="195">
        <f t="shared" si="18"/>
        <v>0</v>
      </c>
      <c r="BU32" s="196" t="s">
        <v>23</v>
      </c>
      <c r="BV32" s="183">
        <v>0</v>
      </c>
      <c r="BW32" s="59" t="s">
        <v>18</v>
      </c>
      <c r="BX32" s="195">
        <f t="shared" si="19"/>
        <v>0</v>
      </c>
      <c r="BY32" s="196" t="s">
        <v>23</v>
      </c>
      <c r="BZ32" s="183">
        <v>0</v>
      </c>
      <c r="CA32" s="59" t="s">
        <v>18</v>
      </c>
      <c r="CB32" s="195">
        <f t="shared" si="20"/>
        <v>0</v>
      </c>
      <c r="CC32" s="196" t="s">
        <v>23</v>
      </c>
    </row>
    <row r="33" spans="1:81" ht="14.25">
      <c r="A33" s="178" t="s">
        <v>8</v>
      </c>
      <c r="B33" s="183">
        <v>1</v>
      </c>
      <c r="C33" s="59" t="s">
        <v>18</v>
      </c>
      <c r="D33" s="271">
        <f t="shared" si="1"/>
        <v>0</v>
      </c>
      <c r="E33" s="196" t="s">
        <v>23</v>
      </c>
      <c r="F33" s="183">
        <v>0</v>
      </c>
      <c r="G33" s="59" t="s">
        <v>18</v>
      </c>
      <c r="H33" s="195">
        <f t="shared" si="2"/>
        <v>0</v>
      </c>
      <c r="I33" s="196" t="s">
        <v>23</v>
      </c>
      <c r="J33" s="183">
        <v>0</v>
      </c>
      <c r="K33" s="59" t="s">
        <v>18</v>
      </c>
      <c r="L33" s="195">
        <f t="shared" si="3"/>
        <v>0</v>
      </c>
      <c r="M33" s="196" t="s">
        <v>23</v>
      </c>
      <c r="N33" s="183">
        <v>0</v>
      </c>
      <c r="O33" s="59" t="s">
        <v>18</v>
      </c>
      <c r="P33" s="195">
        <f t="shared" si="4"/>
        <v>0</v>
      </c>
      <c r="Q33" s="196" t="s">
        <v>23</v>
      </c>
      <c r="R33" s="183">
        <v>0</v>
      </c>
      <c r="S33" s="59" t="s">
        <v>18</v>
      </c>
      <c r="T33" s="195">
        <f t="shared" si="5"/>
        <v>0</v>
      </c>
      <c r="U33" s="196" t="s">
        <v>23</v>
      </c>
      <c r="V33" s="183">
        <v>0</v>
      </c>
      <c r="W33" s="59" t="s">
        <v>18</v>
      </c>
      <c r="X33" s="195">
        <f t="shared" si="6"/>
        <v>0</v>
      </c>
      <c r="Y33" s="196" t="s">
        <v>23</v>
      </c>
      <c r="Z33" s="183">
        <v>0</v>
      </c>
      <c r="AA33" s="59" t="s">
        <v>18</v>
      </c>
      <c r="AB33" s="195">
        <f t="shared" si="7"/>
        <v>0</v>
      </c>
      <c r="AC33" s="196" t="s">
        <v>23</v>
      </c>
      <c r="AD33" s="183">
        <v>0</v>
      </c>
      <c r="AE33" s="59" t="s">
        <v>18</v>
      </c>
      <c r="AF33" s="195">
        <f t="shared" si="8"/>
        <v>0</v>
      </c>
      <c r="AG33" s="196" t="s">
        <v>23</v>
      </c>
      <c r="AH33" s="183">
        <v>0</v>
      </c>
      <c r="AI33" s="59" t="s">
        <v>18</v>
      </c>
      <c r="AJ33" s="195">
        <f t="shared" si="9"/>
        <v>0</v>
      </c>
      <c r="AK33" s="196" t="s">
        <v>23</v>
      </c>
      <c r="AL33" s="183">
        <v>0</v>
      </c>
      <c r="AM33" s="59" t="s">
        <v>18</v>
      </c>
      <c r="AN33" s="195">
        <f t="shared" si="10"/>
        <v>0</v>
      </c>
      <c r="AO33" s="196" t="s">
        <v>23</v>
      </c>
      <c r="AP33" s="183">
        <v>0</v>
      </c>
      <c r="AQ33" s="59" t="s">
        <v>18</v>
      </c>
      <c r="AR33" s="195">
        <f t="shared" si="11"/>
        <v>0</v>
      </c>
      <c r="AS33" s="196" t="s">
        <v>23</v>
      </c>
      <c r="AT33" s="183">
        <v>0</v>
      </c>
      <c r="AU33" s="59" t="s">
        <v>18</v>
      </c>
      <c r="AV33" s="195">
        <f t="shared" si="12"/>
        <v>0</v>
      </c>
      <c r="AW33" s="196" t="s">
        <v>23</v>
      </c>
      <c r="AX33" s="183">
        <v>0</v>
      </c>
      <c r="AY33" s="59" t="s">
        <v>18</v>
      </c>
      <c r="AZ33" s="195">
        <f t="shared" si="13"/>
        <v>0</v>
      </c>
      <c r="BA33" s="196" t="s">
        <v>23</v>
      </c>
      <c r="BB33" s="183">
        <v>0</v>
      </c>
      <c r="BC33" s="59" t="s">
        <v>18</v>
      </c>
      <c r="BD33" s="195">
        <f t="shared" si="14"/>
        <v>0</v>
      </c>
      <c r="BE33" s="196" t="s">
        <v>23</v>
      </c>
      <c r="BF33" s="183">
        <v>0</v>
      </c>
      <c r="BG33" s="59" t="s">
        <v>18</v>
      </c>
      <c r="BH33" s="195">
        <f t="shared" si="15"/>
        <v>0</v>
      </c>
      <c r="BI33" s="196" t="s">
        <v>23</v>
      </c>
      <c r="BJ33" s="183">
        <v>0</v>
      </c>
      <c r="BK33" s="59" t="s">
        <v>18</v>
      </c>
      <c r="BL33" s="195">
        <f t="shared" si="16"/>
        <v>0</v>
      </c>
      <c r="BM33" s="196" t="s">
        <v>23</v>
      </c>
      <c r="BN33" s="183">
        <v>0</v>
      </c>
      <c r="BO33" s="59" t="s">
        <v>18</v>
      </c>
      <c r="BP33" s="195">
        <f t="shared" si="17"/>
        <v>0</v>
      </c>
      <c r="BQ33" s="196" t="s">
        <v>23</v>
      </c>
      <c r="BR33" s="183">
        <v>0</v>
      </c>
      <c r="BS33" s="59" t="s">
        <v>18</v>
      </c>
      <c r="BT33" s="195">
        <f t="shared" si="18"/>
        <v>0</v>
      </c>
      <c r="BU33" s="196" t="s">
        <v>23</v>
      </c>
      <c r="BV33" s="183">
        <v>0</v>
      </c>
      <c r="BW33" s="59" t="s">
        <v>18</v>
      </c>
      <c r="BX33" s="195">
        <f t="shared" si="19"/>
        <v>0</v>
      </c>
      <c r="BY33" s="196" t="s">
        <v>23</v>
      </c>
      <c r="BZ33" s="183">
        <v>0</v>
      </c>
      <c r="CA33" s="59" t="s">
        <v>18</v>
      </c>
      <c r="CB33" s="195">
        <f t="shared" si="20"/>
        <v>0</v>
      </c>
      <c r="CC33" s="196" t="s">
        <v>23</v>
      </c>
    </row>
    <row r="34" spans="1:81" ht="14.25">
      <c r="A34" s="178" t="s">
        <v>11</v>
      </c>
      <c r="B34" s="183">
        <v>1</v>
      </c>
      <c r="C34" s="59" t="s">
        <v>18</v>
      </c>
      <c r="D34" s="271">
        <f t="shared" si="1"/>
        <v>0</v>
      </c>
      <c r="E34" s="196" t="s">
        <v>23</v>
      </c>
      <c r="F34" s="183">
        <v>0</v>
      </c>
      <c r="G34" s="59" t="s">
        <v>18</v>
      </c>
      <c r="H34" s="195">
        <f t="shared" si="2"/>
        <v>0</v>
      </c>
      <c r="I34" s="196" t="s">
        <v>23</v>
      </c>
      <c r="J34" s="183">
        <v>0</v>
      </c>
      <c r="K34" s="59" t="s">
        <v>18</v>
      </c>
      <c r="L34" s="195">
        <f t="shared" si="3"/>
        <v>0</v>
      </c>
      <c r="M34" s="196" t="s">
        <v>23</v>
      </c>
      <c r="N34" s="183">
        <v>0</v>
      </c>
      <c r="O34" s="59" t="s">
        <v>18</v>
      </c>
      <c r="P34" s="195">
        <f t="shared" si="4"/>
        <v>0</v>
      </c>
      <c r="Q34" s="196" t="s">
        <v>23</v>
      </c>
      <c r="R34" s="183">
        <v>0</v>
      </c>
      <c r="S34" s="59" t="s">
        <v>18</v>
      </c>
      <c r="T34" s="195">
        <f t="shared" si="5"/>
        <v>0</v>
      </c>
      <c r="U34" s="196" t="s">
        <v>23</v>
      </c>
      <c r="V34" s="183">
        <v>0</v>
      </c>
      <c r="W34" s="59" t="s">
        <v>18</v>
      </c>
      <c r="X34" s="195">
        <f t="shared" si="6"/>
        <v>0</v>
      </c>
      <c r="Y34" s="196" t="s">
        <v>23</v>
      </c>
      <c r="Z34" s="183">
        <v>0</v>
      </c>
      <c r="AA34" s="59" t="s">
        <v>18</v>
      </c>
      <c r="AB34" s="195">
        <f t="shared" si="7"/>
        <v>0</v>
      </c>
      <c r="AC34" s="196" t="s">
        <v>23</v>
      </c>
      <c r="AD34" s="183">
        <v>0</v>
      </c>
      <c r="AE34" s="59" t="s">
        <v>18</v>
      </c>
      <c r="AF34" s="195">
        <f t="shared" si="8"/>
        <v>0</v>
      </c>
      <c r="AG34" s="196" t="s">
        <v>23</v>
      </c>
      <c r="AH34" s="183">
        <v>0</v>
      </c>
      <c r="AI34" s="59" t="s">
        <v>18</v>
      </c>
      <c r="AJ34" s="195">
        <f t="shared" si="9"/>
        <v>0</v>
      </c>
      <c r="AK34" s="196" t="s">
        <v>23</v>
      </c>
      <c r="AL34" s="183">
        <v>0</v>
      </c>
      <c r="AM34" s="59" t="s">
        <v>18</v>
      </c>
      <c r="AN34" s="195">
        <f t="shared" si="10"/>
        <v>0</v>
      </c>
      <c r="AO34" s="196" t="s">
        <v>23</v>
      </c>
      <c r="AP34" s="183">
        <v>0</v>
      </c>
      <c r="AQ34" s="59" t="s">
        <v>18</v>
      </c>
      <c r="AR34" s="195">
        <f t="shared" si="11"/>
        <v>0</v>
      </c>
      <c r="AS34" s="196" t="s">
        <v>23</v>
      </c>
      <c r="AT34" s="183">
        <v>0</v>
      </c>
      <c r="AU34" s="59" t="s">
        <v>18</v>
      </c>
      <c r="AV34" s="195">
        <f t="shared" si="12"/>
        <v>0</v>
      </c>
      <c r="AW34" s="196" t="s">
        <v>23</v>
      </c>
      <c r="AX34" s="183">
        <v>0</v>
      </c>
      <c r="AY34" s="59" t="s">
        <v>18</v>
      </c>
      <c r="AZ34" s="195">
        <f t="shared" si="13"/>
        <v>0</v>
      </c>
      <c r="BA34" s="196" t="s">
        <v>23</v>
      </c>
      <c r="BB34" s="183">
        <v>0</v>
      </c>
      <c r="BC34" s="59" t="s">
        <v>18</v>
      </c>
      <c r="BD34" s="195">
        <f t="shared" si="14"/>
        <v>0</v>
      </c>
      <c r="BE34" s="196" t="s">
        <v>23</v>
      </c>
      <c r="BF34" s="183">
        <v>0</v>
      </c>
      <c r="BG34" s="59" t="s">
        <v>18</v>
      </c>
      <c r="BH34" s="195">
        <f t="shared" si="15"/>
        <v>0</v>
      </c>
      <c r="BI34" s="196" t="s">
        <v>23</v>
      </c>
      <c r="BJ34" s="183">
        <v>0</v>
      </c>
      <c r="BK34" s="59" t="s">
        <v>18</v>
      </c>
      <c r="BL34" s="195">
        <f t="shared" si="16"/>
        <v>0</v>
      </c>
      <c r="BM34" s="196" t="s">
        <v>23</v>
      </c>
      <c r="BN34" s="183">
        <v>0</v>
      </c>
      <c r="BO34" s="59" t="s">
        <v>18</v>
      </c>
      <c r="BP34" s="195">
        <f t="shared" si="17"/>
        <v>0</v>
      </c>
      <c r="BQ34" s="196" t="s">
        <v>23</v>
      </c>
      <c r="BR34" s="183">
        <v>0</v>
      </c>
      <c r="BS34" s="59" t="s">
        <v>18</v>
      </c>
      <c r="BT34" s="195">
        <f t="shared" si="18"/>
        <v>0</v>
      </c>
      <c r="BU34" s="196" t="s">
        <v>23</v>
      </c>
      <c r="BV34" s="183">
        <v>0</v>
      </c>
      <c r="BW34" s="59" t="s">
        <v>18</v>
      </c>
      <c r="BX34" s="195">
        <f t="shared" si="19"/>
        <v>0</v>
      </c>
      <c r="BY34" s="196" t="s">
        <v>23</v>
      </c>
      <c r="BZ34" s="183">
        <v>0</v>
      </c>
      <c r="CA34" s="59" t="s">
        <v>18</v>
      </c>
      <c r="CB34" s="195">
        <f t="shared" si="20"/>
        <v>0</v>
      </c>
      <c r="CC34" s="196" t="s">
        <v>23</v>
      </c>
    </row>
    <row r="35" spans="1:81" ht="14.25">
      <c r="A35" s="179" t="s">
        <v>70</v>
      </c>
      <c r="B35" s="183">
        <v>1</v>
      </c>
      <c r="C35" s="59" t="s">
        <v>18</v>
      </c>
      <c r="D35" s="271">
        <f t="shared" si="1"/>
        <v>0</v>
      </c>
      <c r="E35" s="196" t="s">
        <v>23</v>
      </c>
      <c r="F35" s="183">
        <v>0</v>
      </c>
      <c r="G35" s="59" t="s">
        <v>18</v>
      </c>
      <c r="H35" s="195">
        <f t="shared" si="2"/>
        <v>0</v>
      </c>
      <c r="I35" s="196" t="s">
        <v>23</v>
      </c>
      <c r="J35" s="183">
        <v>0</v>
      </c>
      <c r="K35" s="59" t="s">
        <v>18</v>
      </c>
      <c r="L35" s="195">
        <f t="shared" si="3"/>
        <v>0</v>
      </c>
      <c r="M35" s="196" t="s">
        <v>23</v>
      </c>
      <c r="N35" s="183">
        <v>0</v>
      </c>
      <c r="O35" s="59" t="s">
        <v>18</v>
      </c>
      <c r="P35" s="195">
        <f t="shared" si="4"/>
        <v>0</v>
      </c>
      <c r="Q35" s="196" t="s">
        <v>23</v>
      </c>
      <c r="R35" s="183">
        <v>0</v>
      </c>
      <c r="S35" s="59" t="s">
        <v>18</v>
      </c>
      <c r="T35" s="195">
        <f t="shared" si="5"/>
        <v>0</v>
      </c>
      <c r="U35" s="196" t="s">
        <v>23</v>
      </c>
      <c r="V35" s="183">
        <v>0</v>
      </c>
      <c r="W35" s="59" t="s">
        <v>18</v>
      </c>
      <c r="X35" s="195">
        <f t="shared" si="6"/>
        <v>0</v>
      </c>
      <c r="Y35" s="196" t="s">
        <v>23</v>
      </c>
      <c r="Z35" s="183">
        <v>0</v>
      </c>
      <c r="AA35" s="59" t="s">
        <v>18</v>
      </c>
      <c r="AB35" s="195">
        <f t="shared" si="7"/>
        <v>0</v>
      </c>
      <c r="AC35" s="196" t="s">
        <v>23</v>
      </c>
      <c r="AD35" s="183">
        <v>0</v>
      </c>
      <c r="AE35" s="59" t="s">
        <v>18</v>
      </c>
      <c r="AF35" s="195">
        <f t="shared" si="8"/>
        <v>0</v>
      </c>
      <c r="AG35" s="196" t="s">
        <v>23</v>
      </c>
      <c r="AH35" s="183">
        <v>0</v>
      </c>
      <c r="AI35" s="59" t="s">
        <v>18</v>
      </c>
      <c r="AJ35" s="195">
        <f t="shared" si="9"/>
        <v>0</v>
      </c>
      <c r="AK35" s="196" t="s">
        <v>23</v>
      </c>
      <c r="AL35" s="183">
        <v>0</v>
      </c>
      <c r="AM35" s="59" t="s">
        <v>18</v>
      </c>
      <c r="AN35" s="195">
        <f t="shared" si="10"/>
        <v>0</v>
      </c>
      <c r="AO35" s="196" t="s">
        <v>23</v>
      </c>
      <c r="AP35" s="183">
        <v>0</v>
      </c>
      <c r="AQ35" s="59" t="s">
        <v>18</v>
      </c>
      <c r="AR35" s="195">
        <f t="shared" si="11"/>
        <v>0</v>
      </c>
      <c r="AS35" s="196" t="s">
        <v>23</v>
      </c>
      <c r="AT35" s="183">
        <v>0</v>
      </c>
      <c r="AU35" s="59" t="s">
        <v>18</v>
      </c>
      <c r="AV35" s="195">
        <f t="shared" si="12"/>
        <v>0</v>
      </c>
      <c r="AW35" s="196" t="s">
        <v>23</v>
      </c>
      <c r="AX35" s="183">
        <v>0</v>
      </c>
      <c r="AY35" s="59" t="s">
        <v>18</v>
      </c>
      <c r="AZ35" s="195">
        <f t="shared" si="13"/>
        <v>0</v>
      </c>
      <c r="BA35" s="196" t="s">
        <v>23</v>
      </c>
      <c r="BB35" s="183">
        <v>0</v>
      </c>
      <c r="BC35" s="59" t="s">
        <v>18</v>
      </c>
      <c r="BD35" s="195">
        <f t="shared" si="14"/>
        <v>0</v>
      </c>
      <c r="BE35" s="196" t="s">
        <v>23</v>
      </c>
      <c r="BF35" s="183">
        <v>0</v>
      </c>
      <c r="BG35" s="59" t="s">
        <v>18</v>
      </c>
      <c r="BH35" s="195">
        <f t="shared" si="15"/>
        <v>0</v>
      </c>
      <c r="BI35" s="196" t="s">
        <v>23</v>
      </c>
      <c r="BJ35" s="183">
        <v>0</v>
      </c>
      <c r="BK35" s="59" t="s">
        <v>18</v>
      </c>
      <c r="BL35" s="195">
        <f t="shared" si="16"/>
        <v>0</v>
      </c>
      <c r="BM35" s="196" t="s">
        <v>23</v>
      </c>
      <c r="BN35" s="183">
        <v>0</v>
      </c>
      <c r="BO35" s="59" t="s">
        <v>18</v>
      </c>
      <c r="BP35" s="195">
        <f t="shared" si="17"/>
        <v>0</v>
      </c>
      <c r="BQ35" s="196" t="s">
        <v>23</v>
      </c>
      <c r="BR35" s="183">
        <v>0</v>
      </c>
      <c r="BS35" s="59" t="s">
        <v>18</v>
      </c>
      <c r="BT35" s="195">
        <f t="shared" si="18"/>
        <v>0</v>
      </c>
      <c r="BU35" s="196" t="s">
        <v>23</v>
      </c>
      <c r="BV35" s="183">
        <v>0</v>
      </c>
      <c r="BW35" s="59" t="s">
        <v>18</v>
      </c>
      <c r="BX35" s="195">
        <f t="shared" si="19"/>
        <v>0</v>
      </c>
      <c r="BY35" s="196" t="s">
        <v>23</v>
      </c>
      <c r="BZ35" s="183">
        <v>0</v>
      </c>
      <c r="CA35" s="59" t="s">
        <v>18</v>
      </c>
      <c r="CB35" s="195">
        <f t="shared" si="20"/>
        <v>0</v>
      </c>
      <c r="CC35" s="196" t="s">
        <v>23</v>
      </c>
    </row>
    <row r="36" spans="1:81" ht="14.25">
      <c r="A36" s="179" t="s">
        <v>16</v>
      </c>
      <c r="B36" s="183">
        <v>1</v>
      </c>
      <c r="C36" s="59" t="s">
        <v>18</v>
      </c>
      <c r="D36" s="271">
        <f t="shared" si="1"/>
        <v>0</v>
      </c>
      <c r="E36" s="196" t="s">
        <v>23</v>
      </c>
      <c r="F36" s="183">
        <v>0</v>
      </c>
      <c r="G36" s="59" t="s">
        <v>18</v>
      </c>
      <c r="H36" s="195">
        <f t="shared" si="2"/>
        <v>0</v>
      </c>
      <c r="I36" s="196" t="s">
        <v>23</v>
      </c>
      <c r="J36" s="183">
        <v>0</v>
      </c>
      <c r="K36" s="59" t="s">
        <v>18</v>
      </c>
      <c r="L36" s="195">
        <f t="shared" si="3"/>
        <v>0</v>
      </c>
      <c r="M36" s="196" t="s">
        <v>23</v>
      </c>
      <c r="N36" s="183">
        <v>0</v>
      </c>
      <c r="O36" s="59" t="s">
        <v>18</v>
      </c>
      <c r="P36" s="195">
        <f t="shared" si="4"/>
        <v>0</v>
      </c>
      <c r="Q36" s="196" t="s">
        <v>23</v>
      </c>
      <c r="R36" s="183">
        <v>0</v>
      </c>
      <c r="S36" s="59" t="s">
        <v>18</v>
      </c>
      <c r="T36" s="195">
        <f t="shared" si="5"/>
        <v>0</v>
      </c>
      <c r="U36" s="196" t="s">
        <v>23</v>
      </c>
      <c r="V36" s="183">
        <v>0</v>
      </c>
      <c r="W36" s="59" t="s">
        <v>18</v>
      </c>
      <c r="X36" s="195">
        <f t="shared" si="6"/>
        <v>0</v>
      </c>
      <c r="Y36" s="196" t="s">
        <v>23</v>
      </c>
      <c r="Z36" s="183">
        <v>0</v>
      </c>
      <c r="AA36" s="59" t="s">
        <v>18</v>
      </c>
      <c r="AB36" s="195">
        <f t="shared" si="7"/>
        <v>0</v>
      </c>
      <c r="AC36" s="196" t="s">
        <v>23</v>
      </c>
      <c r="AD36" s="183">
        <v>0</v>
      </c>
      <c r="AE36" s="59" t="s">
        <v>18</v>
      </c>
      <c r="AF36" s="195">
        <f t="shared" si="8"/>
        <v>0</v>
      </c>
      <c r="AG36" s="196" t="s">
        <v>23</v>
      </c>
      <c r="AH36" s="183">
        <v>0</v>
      </c>
      <c r="AI36" s="59" t="s">
        <v>18</v>
      </c>
      <c r="AJ36" s="195">
        <f t="shared" si="9"/>
        <v>0</v>
      </c>
      <c r="AK36" s="196" t="s">
        <v>23</v>
      </c>
      <c r="AL36" s="183">
        <v>0</v>
      </c>
      <c r="AM36" s="59" t="s">
        <v>18</v>
      </c>
      <c r="AN36" s="195">
        <f t="shared" si="10"/>
        <v>0</v>
      </c>
      <c r="AO36" s="196" t="s">
        <v>23</v>
      </c>
      <c r="AP36" s="183">
        <v>0</v>
      </c>
      <c r="AQ36" s="59" t="s">
        <v>18</v>
      </c>
      <c r="AR36" s="195">
        <f t="shared" si="11"/>
        <v>0</v>
      </c>
      <c r="AS36" s="196" t="s">
        <v>23</v>
      </c>
      <c r="AT36" s="183">
        <v>0</v>
      </c>
      <c r="AU36" s="59" t="s">
        <v>18</v>
      </c>
      <c r="AV36" s="195">
        <f t="shared" si="12"/>
        <v>0</v>
      </c>
      <c r="AW36" s="196" t="s">
        <v>23</v>
      </c>
      <c r="AX36" s="183">
        <v>0</v>
      </c>
      <c r="AY36" s="59" t="s">
        <v>18</v>
      </c>
      <c r="AZ36" s="195">
        <f t="shared" si="13"/>
        <v>0</v>
      </c>
      <c r="BA36" s="196" t="s">
        <v>23</v>
      </c>
      <c r="BB36" s="183">
        <v>0</v>
      </c>
      <c r="BC36" s="59" t="s">
        <v>18</v>
      </c>
      <c r="BD36" s="195">
        <f t="shared" si="14"/>
        <v>0</v>
      </c>
      <c r="BE36" s="196" t="s">
        <v>23</v>
      </c>
      <c r="BF36" s="183">
        <v>0</v>
      </c>
      <c r="BG36" s="59" t="s">
        <v>18</v>
      </c>
      <c r="BH36" s="195">
        <f t="shared" si="15"/>
        <v>0</v>
      </c>
      <c r="BI36" s="196" t="s">
        <v>23</v>
      </c>
      <c r="BJ36" s="183">
        <v>0</v>
      </c>
      <c r="BK36" s="59" t="s">
        <v>18</v>
      </c>
      <c r="BL36" s="195">
        <f t="shared" si="16"/>
        <v>0</v>
      </c>
      <c r="BM36" s="196" t="s">
        <v>23</v>
      </c>
      <c r="BN36" s="183">
        <v>0</v>
      </c>
      <c r="BO36" s="59" t="s">
        <v>18</v>
      </c>
      <c r="BP36" s="195">
        <f t="shared" si="17"/>
        <v>0</v>
      </c>
      <c r="BQ36" s="196" t="s">
        <v>23</v>
      </c>
      <c r="BR36" s="183">
        <v>0</v>
      </c>
      <c r="BS36" s="59" t="s">
        <v>18</v>
      </c>
      <c r="BT36" s="195">
        <f t="shared" si="18"/>
        <v>0</v>
      </c>
      <c r="BU36" s="196" t="s">
        <v>23</v>
      </c>
      <c r="BV36" s="183">
        <v>0</v>
      </c>
      <c r="BW36" s="59" t="s">
        <v>18</v>
      </c>
      <c r="BX36" s="195">
        <f t="shared" si="19"/>
        <v>0</v>
      </c>
      <c r="BY36" s="196" t="s">
        <v>23</v>
      </c>
      <c r="BZ36" s="183">
        <v>0</v>
      </c>
      <c r="CA36" s="59" t="s">
        <v>18</v>
      </c>
      <c r="CB36" s="195">
        <f t="shared" si="20"/>
        <v>0</v>
      </c>
      <c r="CC36" s="196" t="s">
        <v>23</v>
      </c>
    </row>
    <row r="37" spans="1:81" ht="14.25">
      <c r="A37" s="177" t="s">
        <v>71</v>
      </c>
      <c r="B37" s="183">
        <v>1</v>
      </c>
      <c r="C37" s="59" t="s">
        <v>18</v>
      </c>
      <c r="D37" s="271">
        <f t="shared" si="1"/>
        <v>0</v>
      </c>
      <c r="E37" s="196" t="s">
        <v>23</v>
      </c>
      <c r="F37" s="183">
        <v>0</v>
      </c>
      <c r="G37" s="59" t="s">
        <v>18</v>
      </c>
      <c r="H37" s="195">
        <f t="shared" si="2"/>
        <v>0</v>
      </c>
      <c r="I37" s="196" t="s">
        <v>23</v>
      </c>
      <c r="J37" s="183">
        <v>0</v>
      </c>
      <c r="K37" s="59" t="s">
        <v>18</v>
      </c>
      <c r="L37" s="195">
        <f t="shared" si="3"/>
        <v>0</v>
      </c>
      <c r="M37" s="196" t="s">
        <v>23</v>
      </c>
      <c r="N37" s="183">
        <v>0</v>
      </c>
      <c r="O37" s="59" t="s">
        <v>18</v>
      </c>
      <c r="P37" s="195">
        <f t="shared" si="4"/>
        <v>0</v>
      </c>
      <c r="Q37" s="196" t="s">
        <v>23</v>
      </c>
      <c r="R37" s="183">
        <v>0</v>
      </c>
      <c r="S37" s="59" t="s">
        <v>18</v>
      </c>
      <c r="T37" s="195">
        <f t="shared" si="5"/>
        <v>0</v>
      </c>
      <c r="U37" s="196" t="s">
        <v>23</v>
      </c>
      <c r="V37" s="183">
        <v>0</v>
      </c>
      <c r="W37" s="59" t="s">
        <v>18</v>
      </c>
      <c r="X37" s="195">
        <f t="shared" si="6"/>
        <v>0</v>
      </c>
      <c r="Y37" s="196" t="s">
        <v>23</v>
      </c>
      <c r="Z37" s="183">
        <v>0</v>
      </c>
      <c r="AA37" s="59" t="s">
        <v>18</v>
      </c>
      <c r="AB37" s="195">
        <f t="shared" si="7"/>
        <v>0</v>
      </c>
      <c r="AC37" s="196" t="s">
        <v>23</v>
      </c>
      <c r="AD37" s="183">
        <v>0</v>
      </c>
      <c r="AE37" s="59" t="s">
        <v>18</v>
      </c>
      <c r="AF37" s="195">
        <f t="shared" si="8"/>
        <v>0</v>
      </c>
      <c r="AG37" s="196" t="s">
        <v>23</v>
      </c>
      <c r="AH37" s="183">
        <v>0</v>
      </c>
      <c r="AI37" s="59" t="s">
        <v>18</v>
      </c>
      <c r="AJ37" s="195">
        <f t="shared" si="9"/>
        <v>0</v>
      </c>
      <c r="AK37" s="196" t="s">
        <v>23</v>
      </c>
      <c r="AL37" s="183">
        <v>0</v>
      </c>
      <c r="AM37" s="59" t="s">
        <v>18</v>
      </c>
      <c r="AN37" s="195">
        <f t="shared" si="10"/>
        <v>0</v>
      </c>
      <c r="AO37" s="196" t="s">
        <v>23</v>
      </c>
      <c r="AP37" s="183">
        <v>0</v>
      </c>
      <c r="AQ37" s="59" t="s">
        <v>18</v>
      </c>
      <c r="AR37" s="195">
        <f t="shared" si="11"/>
        <v>0</v>
      </c>
      <c r="AS37" s="196" t="s">
        <v>23</v>
      </c>
      <c r="AT37" s="183">
        <v>0</v>
      </c>
      <c r="AU37" s="59" t="s">
        <v>18</v>
      </c>
      <c r="AV37" s="195">
        <f t="shared" si="12"/>
        <v>0</v>
      </c>
      <c r="AW37" s="196" t="s">
        <v>23</v>
      </c>
      <c r="AX37" s="183">
        <v>0</v>
      </c>
      <c r="AY37" s="59" t="s">
        <v>18</v>
      </c>
      <c r="AZ37" s="195">
        <f t="shared" si="13"/>
        <v>0</v>
      </c>
      <c r="BA37" s="196" t="s">
        <v>23</v>
      </c>
      <c r="BB37" s="183">
        <v>0</v>
      </c>
      <c r="BC37" s="59" t="s">
        <v>18</v>
      </c>
      <c r="BD37" s="195">
        <f t="shared" si="14"/>
        <v>0</v>
      </c>
      <c r="BE37" s="196" t="s">
        <v>23</v>
      </c>
      <c r="BF37" s="183">
        <v>0</v>
      </c>
      <c r="BG37" s="59" t="s">
        <v>18</v>
      </c>
      <c r="BH37" s="195">
        <f t="shared" si="15"/>
        <v>0</v>
      </c>
      <c r="BI37" s="196" t="s">
        <v>23</v>
      </c>
      <c r="BJ37" s="183">
        <v>0</v>
      </c>
      <c r="BK37" s="59" t="s">
        <v>18</v>
      </c>
      <c r="BL37" s="195">
        <f t="shared" si="16"/>
        <v>0</v>
      </c>
      <c r="BM37" s="196" t="s">
        <v>23</v>
      </c>
      <c r="BN37" s="183">
        <v>0</v>
      </c>
      <c r="BO37" s="59" t="s">
        <v>18</v>
      </c>
      <c r="BP37" s="195">
        <f t="shared" si="17"/>
        <v>0</v>
      </c>
      <c r="BQ37" s="196" t="s">
        <v>23</v>
      </c>
      <c r="BR37" s="183">
        <v>0</v>
      </c>
      <c r="BS37" s="59" t="s">
        <v>18</v>
      </c>
      <c r="BT37" s="195">
        <f t="shared" si="18"/>
        <v>0</v>
      </c>
      <c r="BU37" s="196" t="s">
        <v>23</v>
      </c>
      <c r="BV37" s="183">
        <v>0</v>
      </c>
      <c r="BW37" s="59" t="s">
        <v>18</v>
      </c>
      <c r="BX37" s="195">
        <f t="shared" si="19"/>
        <v>0</v>
      </c>
      <c r="BY37" s="196" t="s">
        <v>23</v>
      </c>
      <c r="BZ37" s="183">
        <v>0</v>
      </c>
      <c r="CA37" s="59" t="s">
        <v>18</v>
      </c>
      <c r="CB37" s="195">
        <f t="shared" si="20"/>
        <v>0</v>
      </c>
      <c r="CC37" s="196" t="s">
        <v>23</v>
      </c>
    </row>
    <row r="38" spans="1:81" ht="14.25">
      <c r="A38" s="178" t="s">
        <v>12</v>
      </c>
      <c r="B38" s="183">
        <v>1</v>
      </c>
      <c r="C38" s="59" t="s">
        <v>18</v>
      </c>
      <c r="D38" s="271">
        <f t="shared" si="1"/>
        <v>0</v>
      </c>
      <c r="E38" s="196" t="s">
        <v>23</v>
      </c>
      <c r="F38" s="183">
        <v>0</v>
      </c>
      <c r="G38" s="59" t="s">
        <v>18</v>
      </c>
      <c r="H38" s="195">
        <f t="shared" si="2"/>
        <v>0</v>
      </c>
      <c r="I38" s="196" t="s">
        <v>23</v>
      </c>
      <c r="J38" s="183">
        <v>0</v>
      </c>
      <c r="K38" s="59" t="s">
        <v>18</v>
      </c>
      <c r="L38" s="195">
        <f t="shared" si="3"/>
        <v>0</v>
      </c>
      <c r="M38" s="196" t="s">
        <v>23</v>
      </c>
      <c r="N38" s="183">
        <v>0</v>
      </c>
      <c r="O38" s="59" t="s">
        <v>18</v>
      </c>
      <c r="P38" s="195">
        <f t="shared" si="4"/>
        <v>0</v>
      </c>
      <c r="Q38" s="196" t="s">
        <v>23</v>
      </c>
      <c r="R38" s="183">
        <v>0</v>
      </c>
      <c r="S38" s="59" t="s">
        <v>18</v>
      </c>
      <c r="T38" s="195">
        <f t="shared" si="5"/>
        <v>0</v>
      </c>
      <c r="U38" s="196" t="s">
        <v>23</v>
      </c>
      <c r="V38" s="183">
        <v>0</v>
      </c>
      <c r="W38" s="59" t="s">
        <v>18</v>
      </c>
      <c r="X38" s="195">
        <f t="shared" si="6"/>
        <v>0</v>
      </c>
      <c r="Y38" s="196" t="s">
        <v>23</v>
      </c>
      <c r="Z38" s="183">
        <v>0</v>
      </c>
      <c r="AA38" s="59" t="s">
        <v>18</v>
      </c>
      <c r="AB38" s="195">
        <f t="shared" si="7"/>
        <v>0</v>
      </c>
      <c r="AC38" s="196" t="s">
        <v>23</v>
      </c>
      <c r="AD38" s="183">
        <v>0</v>
      </c>
      <c r="AE38" s="59" t="s">
        <v>18</v>
      </c>
      <c r="AF38" s="195">
        <f t="shared" si="8"/>
        <v>0</v>
      </c>
      <c r="AG38" s="196" t="s">
        <v>23</v>
      </c>
      <c r="AH38" s="183">
        <v>0</v>
      </c>
      <c r="AI38" s="59" t="s">
        <v>18</v>
      </c>
      <c r="AJ38" s="195">
        <f t="shared" si="9"/>
        <v>0</v>
      </c>
      <c r="AK38" s="196" t="s">
        <v>23</v>
      </c>
      <c r="AL38" s="183">
        <v>0</v>
      </c>
      <c r="AM38" s="59" t="s">
        <v>18</v>
      </c>
      <c r="AN38" s="195">
        <f t="shared" si="10"/>
        <v>0</v>
      </c>
      <c r="AO38" s="196" t="s">
        <v>23</v>
      </c>
      <c r="AP38" s="183">
        <v>0</v>
      </c>
      <c r="AQ38" s="59" t="s">
        <v>18</v>
      </c>
      <c r="AR38" s="195">
        <f t="shared" si="11"/>
        <v>0</v>
      </c>
      <c r="AS38" s="196" t="s">
        <v>23</v>
      </c>
      <c r="AT38" s="183">
        <v>0</v>
      </c>
      <c r="AU38" s="59" t="s">
        <v>18</v>
      </c>
      <c r="AV38" s="195">
        <f t="shared" si="12"/>
        <v>0</v>
      </c>
      <c r="AW38" s="196" t="s">
        <v>23</v>
      </c>
      <c r="AX38" s="183">
        <v>0</v>
      </c>
      <c r="AY38" s="59" t="s">
        <v>18</v>
      </c>
      <c r="AZ38" s="195">
        <f t="shared" si="13"/>
        <v>0</v>
      </c>
      <c r="BA38" s="196" t="s">
        <v>23</v>
      </c>
      <c r="BB38" s="183">
        <v>0</v>
      </c>
      <c r="BC38" s="59" t="s">
        <v>18</v>
      </c>
      <c r="BD38" s="195">
        <f t="shared" si="14"/>
        <v>0</v>
      </c>
      <c r="BE38" s="196" t="s">
        <v>23</v>
      </c>
      <c r="BF38" s="183">
        <v>0</v>
      </c>
      <c r="BG38" s="59" t="s">
        <v>18</v>
      </c>
      <c r="BH38" s="195">
        <f t="shared" si="15"/>
        <v>0</v>
      </c>
      <c r="BI38" s="196" t="s">
        <v>23</v>
      </c>
      <c r="BJ38" s="183">
        <v>0</v>
      </c>
      <c r="BK38" s="59" t="s">
        <v>18</v>
      </c>
      <c r="BL38" s="195">
        <f t="shared" si="16"/>
        <v>0</v>
      </c>
      <c r="BM38" s="196" t="s">
        <v>23</v>
      </c>
      <c r="BN38" s="183">
        <v>0</v>
      </c>
      <c r="BO38" s="59" t="s">
        <v>18</v>
      </c>
      <c r="BP38" s="195">
        <f t="shared" si="17"/>
        <v>0</v>
      </c>
      <c r="BQ38" s="196" t="s">
        <v>23</v>
      </c>
      <c r="BR38" s="183">
        <v>0</v>
      </c>
      <c r="BS38" s="59" t="s">
        <v>18</v>
      </c>
      <c r="BT38" s="195">
        <f t="shared" si="18"/>
        <v>0</v>
      </c>
      <c r="BU38" s="196" t="s">
        <v>23</v>
      </c>
      <c r="BV38" s="183">
        <v>0</v>
      </c>
      <c r="BW38" s="59" t="s">
        <v>18</v>
      </c>
      <c r="BX38" s="195">
        <f t="shared" si="19"/>
        <v>0</v>
      </c>
      <c r="BY38" s="196" t="s">
        <v>23</v>
      </c>
      <c r="BZ38" s="183">
        <v>0</v>
      </c>
      <c r="CA38" s="59" t="s">
        <v>18</v>
      </c>
      <c r="CB38" s="195">
        <f t="shared" si="20"/>
        <v>0</v>
      </c>
      <c r="CC38" s="196" t="s">
        <v>23</v>
      </c>
    </row>
    <row r="39" spans="1:81" ht="14.25">
      <c r="A39" s="178" t="s">
        <v>10</v>
      </c>
      <c r="B39" s="183">
        <v>1</v>
      </c>
      <c r="C39" s="59" t="s">
        <v>18</v>
      </c>
      <c r="D39" s="271">
        <f t="shared" si="1"/>
        <v>0</v>
      </c>
      <c r="E39" s="196" t="s">
        <v>23</v>
      </c>
      <c r="F39" s="183">
        <v>0</v>
      </c>
      <c r="G39" s="59" t="s">
        <v>18</v>
      </c>
      <c r="H39" s="195">
        <f t="shared" si="2"/>
        <v>0</v>
      </c>
      <c r="I39" s="196" t="s">
        <v>23</v>
      </c>
      <c r="J39" s="183">
        <v>0</v>
      </c>
      <c r="K39" s="59" t="s">
        <v>18</v>
      </c>
      <c r="L39" s="195">
        <f t="shared" si="3"/>
        <v>0</v>
      </c>
      <c r="M39" s="196" t="s">
        <v>23</v>
      </c>
      <c r="N39" s="183">
        <v>0</v>
      </c>
      <c r="O39" s="59" t="s">
        <v>18</v>
      </c>
      <c r="P39" s="195">
        <f t="shared" si="4"/>
        <v>0</v>
      </c>
      <c r="Q39" s="196" t="s">
        <v>23</v>
      </c>
      <c r="R39" s="183">
        <v>0</v>
      </c>
      <c r="S39" s="59" t="s">
        <v>18</v>
      </c>
      <c r="T39" s="195">
        <f t="shared" si="5"/>
        <v>0</v>
      </c>
      <c r="U39" s="196" t="s">
        <v>23</v>
      </c>
      <c r="V39" s="183">
        <v>0</v>
      </c>
      <c r="W39" s="59" t="s">
        <v>18</v>
      </c>
      <c r="X39" s="195">
        <f t="shared" si="6"/>
        <v>0</v>
      </c>
      <c r="Y39" s="196" t="s">
        <v>23</v>
      </c>
      <c r="Z39" s="183">
        <v>0</v>
      </c>
      <c r="AA39" s="59" t="s">
        <v>18</v>
      </c>
      <c r="AB39" s="195">
        <f t="shared" si="7"/>
        <v>0</v>
      </c>
      <c r="AC39" s="196" t="s">
        <v>23</v>
      </c>
      <c r="AD39" s="183">
        <v>0</v>
      </c>
      <c r="AE39" s="59" t="s">
        <v>18</v>
      </c>
      <c r="AF39" s="195">
        <f t="shared" si="8"/>
        <v>0</v>
      </c>
      <c r="AG39" s="196" t="s">
        <v>23</v>
      </c>
      <c r="AH39" s="183">
        <v>0</v>
      </c>
      <c r="AI39" s="59" t="s">
        <v>18</v>
      </c>
      <c r="AJ39" s="195">
        <f t="shared" si="9"/>
        <v>0</v>
      </c>
      <c r="AK39" s="196" t="s">
        <v>23</v>
      </c>
      <c r="AL39" s="183">
        <v>0</v>
      </c>
      <c r="AM39" s="59" t="s">
        <v>18</v>
      </c>
      <c r="AN39" s="195">
        <f t="shared" si="10"/>
        <v>0</v>
      </c>
      <c r="AO39" s="196" t="s">
        <v>23</v>
      </c>
      <c r="AP39" s="183">
        <v>0</v>
      </c>
      <c r="AQ39" s="59" t="s">
        <v>18</v>
      </c>
      <c r="AR39" s="195">
        <f t="shared" si="11"/>
        <v>0</v>
      </c>
      <c r="AS39" s="196" t="s">
        <v>23</v>
      </c>
      <c r="AT39" s="183">
        <v>0</v>
      </c>
      <c r="AU39" s="59" t="s">
        <v>18</v>
      </c>
      <c r="AV39" s="195">
        <f t="shared" si="12"/>
        <v>0</v>
      </c>
      <c r="AW39" s="196" t="s">
        <v>23</v>
      </c>
      <c r="AX39" s="183">
        <v>0</v>
      </c>
      <c r="AY39" s="59" t="s">
        <v>18</v>
      </c>
      <c r="AZ39" s="195">
        <f t="shared" si="13"/>
        <v>0</v>
      </c>
      <c r="BA39" s="196" t="s">
        <v>23</v>
      </c>
      <c r="BB39" s="183">
        <v>0</v>
      </c>
      <c r="BC39" s="59" t="s">
        <v>18</v>
      </c>
      <c r="BD39" s="195">
        <f t="shared" si="14"/>
        <v>0</v>
      </c>
      <c r="BE39" s="196" t="s">
        <v>23</v>
      </c>
      <c r="BF39" s="183">
        <v>0</v>
      </c>
      <c r="BG39" s="59" t="s">
        <v>18</v>
      </c>
      <c r="BH39" s="195">
        <f t="shared" si="15"/>
        <v>0</v>
      </c>
      <c r="BI39" s="196" t="s">
        <v>23</v>
      </c>
      <c r="BJ39" s="183">
        <v>0</v>
      </c>
      <c r="BK39" s="59" t="s">
        <v>18</v>
      </c>
      <c r="BL39" s="195">
        <f t="shared" si="16"/>
        <v>0</v>
      </c>
      <c r="BM39" s="196" t="s">
        <v>23</v>
      </c>
      <c r="BN39" s="183">
        <v>0</v>
      </c>
      <c r="BO39" s="59" t="s">
        <v>18</v>
      </c>
      <c r="BP39" s="195">
        <f t="shared" si="17"/>
        <v>0</v>
      </c>
      <c r="BQ39" s="196" t="s">
        <v>23</v>
      </c>
      <c r="BR39" s="183">
        <v>0</v>
      </c>
      <c r="BS39" s="59" t="s">
        <v>18</v>
      </c>
      <c r="BT39" s="195">
        <f t="shared" si="18"/>
        <v>0</v>
      </c>
      <c r="BU39" s="196" t="s">
        <v>23</v>
      </c>
      <c r="BV39" s="183">
        <v>0</v>
      </c>
      <c r="BW39" s="59" t="s">
        <v>18</v>
      </c>
      <c r="BX39" s="195">
        <f t="shared" si="19"/>
        <v>0</v>
      </c>
      <c r="BY39" s="196" t="s">
        <v>23</v>
      </c>
      <c r="BZ39" s="183">
        <v>0</v>
      </c>
      <c r="CA39" s="59" t="s">
        <v>18</v>
      </c>
      <c r="CB39" s="195">
        <f t="shared" si="20"/>
        <v>0</v>
      </c>
      <c r="CC39" s="196" t="s">
        <v>23</v>
      </c>
    </row>
    <row r="40" spans="1:81" ht="14.25">
      <c r="A40" s="179" t="s">
        <v>72</v>
      </c>
      <c r="B40" s="183">
        <v>1</v>
      </c>
      <c r="C40" s="59" t="s">
        <v>18</v>
      </c>
      <c r="D40" s="271">
        <f t="shared" si="1"/>
        <v>0</v>
      </c>
      <c r="E40" s="196" t="s">
        <v>23</v>
      </c>
      <c r="F40" s="183">
        <v>0</v>
      </c>
      <c r="G40" s="59" t="s">
        <v>18</v>
      </c>
      <c r="H40" s="195">
        <f t="shared" si="2"/>
        <v>0</v>
      </c>
      <c r="I40" s="196" t="s">
        <v>23</v>
      </c>
      <c r="J40" s="183">
        <v>0</v>
      </c>
      <c r="K40" s="59" t="s">
        <v>18</v>
      </c>
      <c r="L40" s="195">
        <f t="shared" si="3"/>
        <v>0</v>
      </c>
      <c r="M40" s="196" t="s">
        <v>23</v>
      </c>
      <c r="N40" s="183">
        <v>0</v>
      </c>
      <c r="O40" s="59" t="s">
        <v>18</v>
      </c>
      <c r="P40" s="195">
        <f t="shared" si="4"/>
        <v>0</v>
      </c>
      <c r="Q40" s="196" t="s">
        <v>23</v>
      </c>
      <c r="R40" s="183">
        <v>0</v>
      </c>
      <c r="S40" s="59" t="s">
        <v>18</v>
      </c>
      <c r="T40" s="195">
        <f t="shared" si="5"/>
        <v>0</v>
      </c>
      <c r="U40" s="196" t="s">
        <v>23</v>
      </c>
      <c r="V40" s="183">
        <v>0</v>
      </c>
      <c r="W40" s="59" t="s">
        <v>18</v>
      </c>
      <c r="X40" s="195">
        <f t="shared" si="6"/>
        <v>0</v>
      </c>
      <c r="Y40" s="196" t="s">
        <v>23</v>
      </c>
      <c r="Z40" s="183">
        <v>0</v>
      </c>
      <c r="AA40" s="59" t="s">
        <v>18</v>
      </c>
      <c r="AB40" s="195">
        <f t="shared" si="7"/>
        <v>0</v>
      </c>
      <c r="AC40" s="196" t="s">
        <v>23</v>
      </c>
      <c r="AD40" s="183">
        <v>0</v>
      </c>
      <c r="AE40" s="59" t="s">
        <v>18</v>
      </c>
      <c r="AF40" s="195">
        <f t="shared" si="8"/>
        <v>0</v>
      </c>
      <c r="AG40" s="196" t="s">
        <v>23</v>
      </c>
      <c r="AH40" s="183">
        <v>0</v>
      </c>
      <c r="AI40" s="59" t="s">
        <v>18</v>
      </c>
      <c r="AJ40" s="195">
        <f t="shared" si="9"/>
        <v>0</v>
      </c>
      <c r="AK40" s="196" t="s">
        <v>23</v>
      </c>
      <c r="AL40" s="183">
        <v>0</v>
      </c>
      <c r="AM40" s="59" t="s">
        <v>18</v>
      </c>
      <c r="AN40" s="195">
        <f t="shared" si="10"/>
        <v>0</v>
      </c>
      <c r="AO40" s="196" t="s">
        <v>23</v>
      </c>
      <c r="AP40" s="183">
        <v>0</v>
      </c>
      <c r="AQ40" s="59" t="s">
        <v>18</v>
      </c>
      <c r="AR40" s="195">
        <f t="shared" si="11"/>
        <v>0</v>
      </c>
      <c r="AS40" s="196" t="s">
        <v>23</v>
      </c>
      <c r="AT40" s="183">
        <v>0</v>
      </c>
      <c r="AU40" s="59" t="s">
        <v>18</v>
      </c>
      <c r="AV40" s="195">
        <f t="shared" si="12"/>
        <v>0</v>
      </c>
      <c r="AW40" s="196" t="s">
        <v>23</v>
      </c>
      <c r="AX40" s="183">
        <v>0</v>
      </c>
      <c r="AY40" s="59" t="s">
        <v>18</v>
      </c>
      <c r="AZ40" s="195">
        <f t="shared" si="13"/>
        <v>0</v>
      </c>
      <c r="BA40" s="196" t="s">
        <v>23</v>
      </c>
      <c r="BB40" s="183">
        <v>0</v>
      </c>
      <c r="BC40" s="59" t="s">
        <v>18</v>
      </c>
      <c r="BD40" s="195">
        <f t="shared" si="14"/>
        <v>0</v>
      </c>
      <c r="BE40" s="196" t="s">
        <v>23</v>
      </c>
      <c r="BF40" s="183">
        <v>0</v>
      </c>
      <c r="BG40" s="59" t="s">
        <v>18</v>
      </c>
      <c r="BH40" s="195">
        <f t="shared" si="15"/>
        <v>0</v>
      </c>
      <c r="BI40" s="196" t="s">
        <v>23</v>
      </c>
      <c r="BJ40" s="183">
        <v>0</v>
      </c>
      <c r="BK40" s="59" t="s">
        <v>18</v>
      </c>
      <c r="BL40" s="195">
        <f t="shared" si="16"/>
        <v>0</v>
      </c>
      <c r="BM40" s="196" t="s">
        <v>23</v>
      </c>
      <c r="BN40" s="183">
        <v>0</v>
      </c>
      <c r="BO40" s="59" t="s">
        <v>18</v>
      </c>
      <c r="BP40" s="195">
        <f t="shared" si="17"/>
        <v>0</v>
      </c>
      <c r="BQ40" s="196" t="s">
        <v>23</v>
      </c>
      <c r="BR40" s="183">
        <v>0</v>
      </c>
      <c r="BS40" s="59" t="s">
        <v>18</v>
      </c>
      <c r="BT40" s="195">
        <f t="shared" si="18"/>
        <v>0</v>
      </c>
      <c r="BU40" s="196" t="s">
        <v>23</v>
      </c>
      <c r="BV40" s="183">
        <v>0</v>
      </c>
      <c r="BW40" s="59" t="s">
        <v>18</v>
      </c>
      <c r="BX40" s="195">
        <f t="shared" si="19"/>
        <v>0</v>
      </c>
      <c r="BY40" s="196" t="s">
        <v>23</v>
      </c>
      <c r="BZ40" s="183">
        <v>0</v>
      </c>
      <c r="CA40" s="59" t="s">
        <v>18</v>
      </c>
      <c r="CB40" s="195">
        <f t="shared" si="20"/>
        <v>0</v>
      </c>
      <c r="CC40" s="196" t="s">
        <v>23</v>
      </c>
    </row>
    <row r="41" spans="1:81" ht="14.25">
      <c r="A41" s="179" t="s">
        <v>73</v>
      </c>
      <c r="B41" s="183">
        <v>1</v>
      </c>
      <c r="C41" s="59" t="s">
        <v>18</v>
      </c>
      <c r="D41" s="271">
        <f t="shared" si="1"/>
        <v>0</v>
      </c>
      <c r="E41" s="196" t="s">
        <v>23</v>
      </c>
      <c r="F41" s="183">
        <v>0</v>
      </c>
      <c r="G41" s="59" t="s">
        <v>18</v>
      </c>
      <c r="H41" s="195">
        <f t="shared" si="2"/>
        <v>0</v>
      </c>
      <c r="I41" s="196" t="s">
        <v>23</v>
      </c>
      <c r="J41" s="183">
        <v>0</v>
      </c>
      <c r="K41" s="59" t="s">
        <v>18</v>
      </c>
      <c r="L41" s="195">
        <f t="shared" si="3"/>
        <v>0</v>
      </c>
      <c r="M41" s="196" t="s">
        <v>23</v>
      </c>
      <c r="N41" s="183">
        <v>0</v>
      </c>
      <c r="O41" s="59" t="s">
        <v>18</v>
      </c>
      <c r="P41" s="195">
        <f t="shared" si="4"/>
        <v>0</v>
      </c>
      <c r="Q41" s="196" t="s">
        <v>23</v>
      </c>
      <c r="R41" s="183">
        <v>0</v>
      </c>
      <c r="S41" s="59" t="s">
        <v>18</v>
      </c>
      <c r="T41" s="195">
        <f t="shared" si="5"/>
        <v>0</v>
      </c>
      <c r="U41" s="196" t="s">
        <v>23</v>
      </c>
      <c r="V41" s="183">
        <v>0</v>
      </c>
      <c r="W41" s="59" t="s">
        <v>18</v>
      </c>
      <c r="X41" s="195">
        <f t="shared" si="6"/>
        <v>0</v>
      </c>
      <c r="Y41" s="196" t="s">
        <v>23</v>
      </c>
      <c r="Z41" s="183">
        <v>0</v>
      </c>
      <c r="AA41" s="59" t="s">
        <v>18</v>
      </c>
      <c r="AB41" s="195">
        <f t="shared" si="7"/>
        <v>0</v>
      </c>
      <c r="AC41" s="196" t="s">
        <v>23</v>
      </c>
      <c r="AD41" s="183">
        <v>0</v>
      </c>
      <c r="AE41" s="59" t="s">
        <v>18</v>
      </c>
      <c r="AF41" s="195">
        <f t="shared" si="8"/>
        <v>0</v>
      </c>
      <c r="AG41" s="196" t="s">
        <v>23</v>
      </c>
      <c r="AH41" s="183">
        <v>0</v>
      </c>
      <c r="AI41" s="59" t="s">
        <v>18</v>
      </c>
      <c r="AJ41" s="195">
        <f t="shared" si="9"/>
        <v>0</v>
      </c>
      <c r="AK41" s="196" t="s">
        <v>23</v>
      </c>
      <c r="AL41" s="183">
        <v>0</v>
      </c>
      <c r="AM41" s="59" t="s">
        <v>18</v>
      </c>
      <c r="AN41" s="195">
        <f t="shared" si="10"/>
        <v>0</v>
      </c>
      <c r="AO41" s="196" t="s">
        <v>23</v>
      </c>
      <c r="AP41" s="183">
        <v>0</v>
      </c>
      <c r="AQ41" s="59" t="s">
        <v>18</v>
      </c>
      <c r="AR41" s="195">
        <f t="shared" si="11"/>
        <v>0</v>
      </c>
      <c r="AS41" s="196" t="s">
        <v>23</v>
      </c>
      <c r="AT41" s="183">
        <v>0</v>
      </c>
      <c r="AU41" s="59" t="s">
        <v>18</v>
      </c>
      <c r="AV41" s="195">
        <f t="shared" si="12"/>
        <v>0</v>
      </c>
      <c r="AW41" s="196" t="s">
        <v>23</v>
      </c>
      <c r="AX41" s="183">
        <v>0</v>
      </c>
      <c r="AY41" s="59" t="s">
        <v>18</v>
      </c>
      <c r="AZ41" s="195">
        <f t="shared" si="13"/>
        <v>0</v>
      </c>
      <c r="BA41" s="196" t="s">
        <v>23</v>
      </c>
      <c r="BB41" s="183">
        <v>0</v>
      </c>
      <c r="BC41" s="59" t="s">
        <v>18</v>
      </c>
      <c r="BD41" s="195">
        <f t="shared" si="14"/>
        <v>0</v>
      </c>
      <c r="BE41" s="196" t="s">
        <v>23</v>
      </c>
      <c r="BF41" s="183">
        <v>0</v>
      </c>
      <c r="BG41" s="59" t="s">
        <v>18</v>
      </c>
      <c r="BH41" s="195">
        <f t="shared" si="15"/>
        <v>0</v>
      </c>
      <c r="BI41" s="196" t="s">
        <v>23</v>
      </c>
      <c r="BJ41" s="183">
        <v>0</v>
      </c>
      <c r="BK41" s="59" t="s">
        <v>18</v>
      </c>
      <c r="BL41" s="195">
        <f t="shared" si="16"/>
        <v>0</v>
      </c>
      <c r="BM41" s="196" t="s">
        <v>23</v>
      </c>
      <c r="BN41" s="183">
        <v>0</v>
      </c>
      <c r="BO41" s="59" t="s">
        <v>18</v>
      </c>
      <c r="BP41" s="195">
        <f t="shared" si="17"/>
        <v>0</v>
      </c>
      <c r="BQ41" s="196" t="s">
        <v>23</v>
      </c>
      <c r="BR41" s="183">
        <v>0</v>
      </c>
      <c r="BS41" s="59" t="s">
        <v>18</v>
      </c>
      <c r="BT41" s="195">
        <f t="shared" si="18"/>
        <v>0</v>
      </c>
      <c r="BU41" s="196" t="s">
        <v>23</v>
      </c>
      <c r="BV41" s="183">
        <v>0</v>
      </c>
      <c r="BW41" s="59" t="s">
        <v>18</v>
      </c>
      <c r="BX41" s="195">
        <f t="shared" si="19"/>
        <v>0</v>
      </c>
      <c r="BY41" s="196" t="s">
        <v>23</v>
      </c>
      <c r="BZ41" s="183">
        <v>0</v>
      </c>
      <c r="CA41" s="59" t="s">
        <v>18</v>
      </c>
      <c r="CB41" s="195">
        <f t="shared" si="20"/>
        <v>0</v>
      </c>
      <c r="CC41" s="196" t="s">
        <v>23</v>
      </c>
    </row>
    <row r="42" spans="1:81" ht="14.25">
      <c r="A42" s="180" t="s">
        <v>74</v>
      </c>
      <c r="B42" s="183">
        <v>1</v>
      </c>
      <c r="C42" s="59" t="s">
        <v>18</v>
      </c>
      <c r="D42" s="271">
        <f t="shared" si="1"/>
        <v>0</v>
      </c>
      <c r="E42" s="196" t="s">
        <v>23</v>
      </c>
      <c r="F42" s="183">
        <v>0</v>
      </c>
      <c r="G42" s="59" t="s">
        <v>18</v>
      </c>
      <c r="H42" s="195">
        <f t="shared" si="2"/>
        <v>0</v>
      </c>
      <c r="I42" s="196" t="s">
        <v>23</v>
      </c>
      <c r="J42" s="183">
        <v>0</v>
      </c>
      <c r="K42" s="59" t="s">
        <v>18</v>
      </c>
      <c r="L42" s="195">
        <f t="shared" si="3"/>
        <v>0</v>
      </c>
      <c r="M42" s="196" t="s">
        <v>23</v>
      </c>
      <c r="N42" s="183">
        <v>0</v>
      </c>
      <c r="O42" s="59" t="s">
        <v>18</v>
      </c>
      <c r="P42" s="195">
        <f t="shared" si="4"/>
        <v>0</v>
      </c>
      <c r="Q42" s="196" t="s">
        <v>23</v>
      </c>
      <c r="R42" s="183">
        <v>0</v>
      </c>
      <c r="S42" s="59" t="s">
        <v>18</v>
      </c>
      <c r="T42" s="195">
        <f t="shared" si="5"/>
        <v>0</v>
      </c>
      <c r="U42" s="196" t="s">
        <v>23</v>
      </c>
      <c r="V42" s="183">
        <v>0</v>
      </c>
      <c r="W42" s="59" t="s">
        <v>18</v>
      </c>
      <c r="X42" s="195">
        <f t="shared" si="6"/>
        <v>0</v>
      </c>
      <c r="Y42" s="196" t="s">
        <v>23</v>
      </c>
      <c r="Z42" s="183">
        <v>0</v>
      </c>
      <c r="AA42" s="59" t="s">
        <v>18</v>
      </c>
      <c r="AB42" s="195">
        <f t="shared" si="7"/>
        <v>0</v>
      </c>
      <c r="AC42" s="196" t="s">
        <v>23</v>
      </c>
      <c r="AD42" s="183">
        <v>0</v>
      </c>
      <c r="AE42" s="59" t="s">
        <v>18</v>
      </c>
      <c r="AF42" s="195">
        <f t="shared" si="8"/>
        <v>0</v>
      </c>
      <c r="AG42" s="196" t="s">
        <v>23</v>
      </c>
      <c r="AH42" s="183">
        <v>0</v>
      </c>
      <c r="AI42" s="59" t="s">
        <v>18</v>
      </c>
      <c r="AJ42" s="195">
        <f t="shared" si="9"/>
        <v>0</v>
      </c>
      <c r="AK42" s="196" t="s">
        <v>23</v>
      </c>
      <c r="AL42" s="183">
        <v>0</v>
      </c>
      <c r="AM42" s="59" t="s">
        <v>18</v>
      </c>
      <c r="AN42" s="195">
        <f t="shared" si="10"/>
        <v>0</v>
      </c>
      <c r="AO42" s="196" t="s">
        <v>23</v>
      </c>
      <c r="AP42" s="183">
        <v>0</v>
      </c>
      <c r="AQ42" s="59" t="s">
        <v>18</v>
      </c>
      <c r="AR42" s="195">
        <f t="shared" si="11"/>
        <v>0</v>
      </c>
      <c r="AS42" s="196" t="s">
        <v>23</v>
      </c>
      <c r="AT42" s="183">
        <v>0</v>
      </c>
      <c r="AU42" s="59" t="s">
        <v>18</v>
      </c>
      <c r="AV42" s="195">
        <f t="shared" si="12"/>
        <v>0</v>
      </c>
      <c r="AW42" s="196" t="s">
        <v>23</v>
      </c>
      <c r="AX42" s="183">
        <v>0</v>
      </c>
      <c r="AY42" s="59" t="s">
        <v>18</v>
      </c>
      <c r="AZ42" s="195">
        <f t="shared" si="13"/>
        <v>0</v>
      </c>
      <c r="BA42" s="196" t="s">
        <v>23</v>
      </c>
      <c r="BB42" s="183">
        <v>0</v>
      </c>
      <c r="BC42" s="59" t="s">
        <v>18</v>
      </c>
      <c r="BD42" s="195">
        <f t="shared" si="14"/>
        <v>0</v>
      </c>
      <c r="BE42" s="196" t="s">
        <v>23</v>
      </c>
      <c r="BF42" s="183">
        <v>0</v>
      </c>
      <c r="BG42" s="59" t="s">
        <v>18</v>
      </c>
      <c r="BH42" s="195">
        <f t="shared" si="15"/>
        <v>0</v>
      </c>
      <c r="BI42" s="196" t="s">
        <v>23</v>
      </c>
      <c r="BJ42" s="183">
        <v>0</v>
      </c>
      <c r="BK42" s="59" t="s">
        <v>18</v>
      </c>
      <c r="BL42" s="195">
        <f t="shared" si="16"/>
        <v>0</v>
      </c>
      <c r="BM42" s="196" t="s">
        <v>23</v>
      </c>
      <c r="BN42" s="183">
        <v>0</v>
      </c>
      <c r="BO42" s="59" t="s">
        <v>18</v>
      </c>
      <c r="BP42" s="195">
        <f t="shared" si="17"/>
        <v>0</v>
      </c>
      <c r="BQ42" s="196" t="s">
        <v>23</v>
      </c>
      <c r="BR42" s="183">
        <v>0</v>
      </c>
      <c r="BS42" s="59" t="s">
        <v>18</v>
      </c>
      <c r="BT42" s="195">
        <f t="shared" si="18"/>
        <v>0</v>
      </c>
      <c r="BU42" s="196" t="s">
        <v>23</v>
      </c>
      <c r="BV42" s="183">
        <v>0</v>
      </c>
      <c r="BW42" s="59" t="s">
        <v>18</v>
      </c>
      <c r="BX42" s="195">
        <f t="shared" si="19"/>
        <v>0</v>
      </c>
      <c r="BY42" s="196" t="s">
        <v>23</v>
      </c>
      <c r="BZ42" s="183">
        <v>0</v>
      </c>
      <c r="CA42" s="59" t="s">
        <v>18</v>
      </c>
      <c r="CB42" s="195">
        <f t="shared" si="20"/>
        <v>0</v>
      </c>
      <c r="CC42" s="196" t="s">
        <v>23</v>
      </c>
    </row>
    <row r="43" spans="1:81" ht="14.25">
      <c r="A43" s="179" t="s">
        <v>75</v>
      </c>
      <c r="B43" s="183">
        <v>1</v>
      </c>
      <c r="C43" s="59" t="s">
        <v>18</v>
      </c>
      <c r="D43" s="271">
        <f t="shared" si="1"/>
        <v>0</v>
      </c>
      <c r="E43" s="196" t="s">
        <v>23</v>
      </c>
      <c r="F43" s="183">
        <v>0</v>
      </c>
      <c r="G43" s="59" t="s">
        <v>18</v>
      </c>
      <c r="H43" s="195">
        <f t="shared" si="2"/>
        <v>0</v>
      </c>
      <c r="I43" s="196" t="s">
        <v>23</v>
      </c>
      <c r="J43" s="183">
        <v>0</v>
      </c>
      <c r="K43" s="59" t="s">
        <v>18</v>
      </c>
      <c r="L43" s="195">
        <f t="shared" si="3"/>
        <v>0</v>
      </c>
      <c r="M43" s="196" t="s">
        <v>23</v>
      </c>
      <c r="N43" s="183">
        <v>0</v>
      </c>
      <c r="O43" s="59" t="s">
        <v>18</v>
      </c>
      <c r="P43" s="195">
        <f t="shared" si="4"/>
        <v>0</v>
      </c>
      <c r="Q43" s="196" t="s">
        <v>23</v>
      </c>
      <c r="R43" s="183">
        <v>0</v>
      </c>
      <c r="S43" s="59" t="s">
        <v>18</v>
      </c>
      <c r="T43" s="195">
        <f t="shared" si="5"/>
        <v>0</v>
      </c>
      <c r="U43" s="196" t="s">
        <v>23</v>
      </c>
      <c r="V43" s="183">
        <v>0</v>
      </c>
      <c r="W43" s="59" t="s">
        <v>18</v>
      </c>
      <c r="X43" s="195">
        <f t="shared" si="6"/>
        <v>0</v>
      </c>
      <c r="Y43" s="196" t="s">
        <v>23</v>
      </c>
      <c r="Z43" s="183">
        <v>0</v>
      </c>
      <c r="AA43" s="59" t="s">
        <v>18</v>
      </c>
      <c r="AB43" s="195">
        <f t="shared" si="7"/>
        <v>0</v>
      </c>
      <c r="AC43" s="196" t="s">
        <v>23</v>
      </c>
      <c r="AD43" s="183">
        <v>0</v>
      </c>
      <c r="AE43" s="59" t="s">
        <v>18</v>
      </c>
      <c r="AF43" s="195">
        <f t="shared" si="8"/>
        <v>0</v>
      </c>
      <c r="AG43" s="196" t="s">
        <v>23</v>
      </c>
      <c r="AH43" s="183">
        <v>0</v>
      </c>
      <c r="AI43" s="59" t="s">
        <v>18</v>
      </c>
      <c r="AJ43" s="195">
        <f t="shared" si="9"/>
        <v>0</v>
      </c>
      <c r="AK43" s="196" t="s">
        <v>23</v>
      </c>
      <c r="AL43" s="183">
        <v>0</v>
      </c>
      <c r="AM43" s="59" t="s">
        <v>18</v>
      </c>
      <c r="AN43" s="195">
        <f t="shared" si="10"/>
        <v>0</v>
      </c>
      <c r="AO43" s="196" t="s">
        <v>23</v>
      </c>
      <c r="AP43" s="183">
        <v>0</v>
      </c>
      <c r="AQ43" s="59" t="s">
        <v>18</v>
      </c>
      <c r="AR43" s="195">
        <f t="shared" si="11"/>
        <v>0</v>
      </c>
      <c r="AS43" s="196" t="s">
        <v>23</v>
      </c>
      <c r="AT43" s="183">
        <v>0</v>
      </c>
      <c r="AU43" s="59" t="s">
        <v>18</v>
      </c>
      <c r="AV43" s="195">
        <f t="shared" si="12"/>
        <v>0</v>
      </c>
      <c r="AW43" s="196" t="s">
        <v>23</v>
      </c>
      <c r="AX43" s="183">
        <v>0</v>
      </c>
      <c r="AY43" s="59" t="s">
        <v>18</v>
      </c>
      <c r="AZ43" s="195">
        <f t="shared" si="13"/>
        <v>0</v>
      </c>
      <c r="BA43" s="196" t="s">
        <v>23</v>
      </c>
      <c r="BB43" s="183">
        <v>0</v>
      </c>
      <c r="BC43" s="59" t="s">
        <v>18</v>
      </c>
      <c r="BD43" s="195">
        <f t="shared" si="14"/>
        <v>0</v>
      </c>
      <c r="BE43" s="196" t="s">
        <v>23</v>
      </c>
      <c r="BF43" s="183">
        <v>0</v>
      </c>
      <c r="BG43" s="59" t="s">
        <v>18</v>
      </c>
      <c r="BH43" s="195">
        <f t="shared" si="15"/>
        <v>0</v>
      </c>
      <c r="BI43" s="196" t="s">
        <v>23</v>
      </c>
      <c r="BJ43" s="183">
        <v>0</v>
      </c>
      <c r="BK43" s="59" t="s">
        <v>18</v>
      </c>
      <c r="BL43" s="195">
        <f t="shared" si="16"/>
        <v>0</v>
      </c>
      <c r="BM43" s="196" t="s">
        <v>23</v>
      </c>
      <c r="BN43" s="183">
        <v>0</v>
      </c>
      <c r="BO43" s="59" t="s">
        <v>18</v>
      </c>
      <c r="BP43" s="195">
        <f t="shared" si="17"/>
        <v>0</v>
      </c>
      <c r="BQ43" s="196" t="s">
        <v>23</v>
      </c>
      <c r="BR43" s="183">
        <v>0</v>
      </c>
      <c r="BS43" s="59" t="s">
        <v>18</v>
      </c>
      <c r="BT43" s="195">
        <f t="shared" si="18"/>
        <v>0</v>
      </c>
      <c r="BU43" s="196" t="s">
        <v>23</v>
      </c>
      <c r="BV43" s="183">
        <v>0</v>
      </c>
      <c r="BW43" s="59" t="s">
        <v>18</v>
      </c>
      <c r="BX43" s="195">
        <f t="shared" si="19"/>
        <v>0</v>
      </c>
      <c r="BY43" s="196" t="s">
        <v>23</v>
      </c>
      <c r="BZ43" s="183">
        <v>0</v>
      </c>
      <c r="CA43" s="59" t="s">
        <v>18</v>
      </c>
      <c r="CB43" s="195">
        <f t="shared" si="20"/>
        <v>0</v>
      </c>
      <c r="CC43" s="196" t="s">
        <v>23</v>
      </c>
    </row>
    <row r="44" spans="1:81" ht="14.25">
      <c r="A44" s="180" t="s">
        <v>78</v>
      </c>
      <c r="B44" s="183">
        <v>1</v>
      </c>
      <c r="C44" s="59" t="s">
        <v>18</v>
      </c>
      <c r="D44" s="271">
        <f t="shared" si="1"/>
        <v>0</v>
      </c>
      <c r="E44" s="196" t="s">
        <v>23</v>
      </c>
      <c r="F44" s="183">
        <v>0</v>
      </c>
      <c r="G44" s="59" t="s">
        <v>18</v>
      </c>
      <c r="H44" s="195">
        <f t="shared" si="2"/>
        <v>0</v>
      </c>
      <c r="I44" s="196" t="s">
        <v>23</v>
      </c>
      <c r="J44" s="183">
        <v>0</v>
      </c>
      <c r="K44" s="59" t="s">
        <v>18</v>
      </c>
      <c r="L44" s="195">
        <f t="shared" si="3"/>
        <v>0</v>
      </c>
      <c r="M44" s="196" t="s">
        <v>23</v>
      </c>
      <c r="N44" s="183">
        <v>0</v>
      </c>
      <c r="O44" s="59" t="s">
        <v>18</v>
      </c>
      <c r="P44" s="195">
        <f t="shared" si="4"/>
        <v>0</v>
      </c>
      <c r="Q44" s="196" t="s">
        <v>23</v>
      </c>
      <c r="R44" s="183">
        <v>0</v>
      </c>
      <c r="S44" s="59" t="s">
        <v>18</v>
      </c>
      <c r="T44" s="195">
        <f t="shared" si="5"/>
        <v>0</v>
      </c>
      <c r="U44" s="196" t="s">
        <v>23</v>
      </c>
      <c r="V44" s="183">
        <v>0</v>
      </c>
      <c r="W44" s="59" t="s">
        <v>18</v>
      </c>
      <c r="X44" s="195">
        <f t="shared" si="6"/>
        <v>0</v>
      </c>
      <c r="Y44" s="196" t="s">
        <v>23</v>
      </c>
      <c r="Z44" s="183">
        <v>0</v>
      </c>
      <c r="AA44" s="59" t="s">
        <v>18</v>
      </c>
      <c r="AB44" s="195">
        <f t="shared" si="7"/>
        <v>0</v>
      </c>
      <c r="AC44" s="196" t="s">
        <v>23</v>
      </c>
      <c r="AD44" s="183">
        <v>0</v>
      </c>
      <c r="AE44" s="59" t="s">
        <v>18</v>
      </c>
      <c r="AF44" s="195">
        <f t="shared" si="8"/>
        <v>0</v>
      </c>
      <c r="AG44" s="196" t="s">
        <v>23</v>
      </c>
      <c r="AH44" s="183">
        <v>0</v>
      </c>
      <c r="AI44" s="59" t="s">
        <v>18</v>
      </c>
      <c r="AJ44" s="195">
        <f t="shared" si="9"/>
        <v>0</v>
      </c>
      <c r="AK44" s="196" t="s">
        <v>23</v>
      </c>
      <c r="AL44" s="183">
        <v>0</v>
      </c>
      <c r="AM44" s="59" t="s">
        <v>18</v>
      </c>
      <c r="AN44" s="195">
        <f t="shared" si="10"/>
        <v>0</v>
      </c>
      <c r="AO44" s="196" t="s">
        <v>23</v>
      </c>
      <c r="AP44" s="183">
        <v>0</v>
      </c>
      <c r="AQ44" s="59" t="s">
        <v>18</v>
      </c>
      <c r="AR44" s="195">
        <f t="shared" si="11"/>
        <v>0</v>
      </c>
      <c r="AS44" s="196" t="s">
        <v>23</v>
      </c>
      <c r="AT44" s="183">
        <v>0</v>
      </c>
      <c r="AU44" s="59" t="s">
        <v>18</v>
      </c>
      <c r="AV44" s="195">
        <f t="shared" si="12"/>
        <v>0</v>
      </c>
      <c r="AW44" s="196" t="s">
        <v>23</v>
      </c>
      <c r="AX44" s="183">
        <v>0</v>
      </c>
      <c r="AY44" s="59" t="s">
        <v>18</v>
      </c>
      <c r="AZ44" s="195">
        <f t="shared" si="13"/>
        <v>0</v>
      </c>
      <c r="BA44" s="196" t="s">
        <v>23</v>
      </c>
      <c r="BB44" s="183">
        <v>0</v>
      </c>
      <c r="BC44" s="59" t="s">
        <v>18</v>
      </c>
      <c r="BD44" s="195">
        <f t="shared" si="14"/>
        <v>0</v>
      </c>
      <c r="BE44" s="196" t="s">
        <v>23</v>
      </c>
      <c r="BF44" s="183">
        <v>0</v>
      </c>
      <c r="BG44" s="59" t="s">
        <v>18</v>
      </c>
      <c r="BH44" s="195">
        <f t="shared" si="15"/>
        <v>0</v>
      </c>
      <c r="BI44" s="196" t="s">
        <v>23</v>
      </c>
      <c r="BJ44" s="183">
        <v>0</v>
      </c>
      <c r="BK44" s="59" t="s">
        <v>18</v>
      </c>
      <c r="BL44" s="195">
        <f t="shared" si="16"/>
        <v>0</v>
      </c>
      <c r="BM44" s="196" t="s">
        <v>23</v>
      </c>
      <c r="BN44" s="183">
        <v>0</v>
      </c>
      <c r="BO44" s="59" t="s">
        <v>18</v>
      </c>
      <c r="BP44" s="195">
        <f t="shared" si="17"/>
        <v>0</v>
      </c>
      <c r="BQ44" s="196" t="s">
        <v>23</v>
      </c>
      <c r="BR44" s="183">
        <v>0</v>
      </c>
      <c r="BS44" s="59" t="s">
        <v>18</v>
      </c>
      <c r="BT44" s="195">
        <f t="shared" si="18"/>
        <v>0</v>
      </c>
      <c r="BU44" s="196" t="s">
        <v>23</v>
      </c>
      <c r="BV44" s="183">
        <v>0</v>
      </c>
      <c r="BW44" s="59" t="s">
        <v>18</v>
      </c>
      <c r="BX44" s="195">
        <f t="shared" si="19"/>
        <v>0</v>
      </c>
      <c r="BY44" s="196" t="s">
        <v>23</v>
      </c>
      <c r="BZ44" s="183">
        <v>0</v>
      </c>
      <c r="CA44" s="59" t="s">
        <v>18</v>
      </c>
      <c r="CB44" s="195">
        <f t="shared" si="20"/>
        <v>0</v>
      </c>
      <c r="CC44" s="196" t="s">
        <v>23</v>
      </c>
    </row>
    <row r="45" spans="1:81" ht="14.25">
      <c r="A45" s="175" t="s">
        <v>14</v>
      </c>
      <c r="B45" s="183">
        <v>1</v>
      </c>
      <c r="C45" s="59" t="s">
        <v>18</v>
      </c>
      <c r="D45" s="271">
        <f t="shared" si="1"/>
        <v>0</v>
      </c>
      <c r="E45" s="196" t="s">
        <v>23</v>
      </c>
      <c r="F45" s="183">
        <v>0</v>
      </c>
      <c r="G45" s="59" t="s">
        <v>18</v>
      </c>
      <c r="H45" s="195">
        <f t="shared" si="2"/>
        <v>0</v>
      </c>
      <c r="I45" s="196" t="s">
        <v>23</v>
      </c>
      <c r="J45" s="183">
        <v>0</v>
      </c>
      <c r="K45" s="59" t="s">
        <v>18</v>
      </c>
      <c r="L45" s="195">
        <f t="shared" si="3"/>
        <v>0</v>
      </c>
      <c r="M45" s="196" t="s">
        <v>23</v>
      </c>
      <c r="N45" s="183">
        <v>0</v>
      </c>
      <c r="O45" s="59" t="s">
        <v>18</v>
      </c>
      <c r="P45" s="195">
        <f t="shared" si="4"/>
        <v>0</v>
      </c>
      <c r="Q45" s="196" t="s">
        <v>23</v>
      </c>
      <c r="R45" s="183">
        <v>0</v>
      </c>
      <c r="S45" s="59" t="s">
        <v>18</v>
      </c>
      <c r="T45" s="195">
        <f t="shared" si="5"/>
        <v>0</v>
      </c>
      <c r="U45" s="196" t="s">
        <v>23</v>
      </c>
      <c r="V45" s="183">
        <v>0</v>
      </c>
      <c r="W45" s="59" t="s">
        <v>18</v>
      </c>
      <c r="X45" s="195">
        <f t="shared" si="6"/>
        <v>0</v>
      </c>
      <c r="Y45" s="196" t="s">
        <v>23</v>
      </c>
      <c r="Z45" s="183">
        <v>0</v>
      </c>
      <c r="AA45" s="59" t="s">
        <v>18</v>
      </c>
      <c r="AB45" s="195">
        <f t="shared" si="7"/>
        <v>0</v>
      </c>
      <c r="AC45" s="196" t="s">
        <v>23</v>
      </c>
      <c r="AD45" s="183">
        <v>0</v>
      </c>
      <c r="AE45" s="59" t="s">
        <v>18</v>
      </c>
      <c r="AF45" s="195">
        <f t="shared" si="8"/>
        <v>0</v>
      </c>
      <c r="AG45" s="196" t="s">
        <v>23</v>
      </c>
      <c r="AH45" s="183">
        <v>0</v>
      </c>
      <c r="AI45" s="59" t="s">
        <v>18</v>
      </c>
      <c r="AJ45" s="195">
        <f t="shared" si="9"/>
        <v>0</v>
      </c>
      <c r="AK45" s="196" t="s">
        <v>23</v>
      </c>
      <c r="AL45" s="183">
        <v>0</v>
      </c>
      <c r="AM45" s="59" t="s">
        <v>18</v>
      </c>
      <c r="AN45" s="195">
        <f t="shared" si="10"/>
        <v>0</v>
      </c>
      <c r="AO45" s="196" t="s">
        <v>23</v>
      </c>
      <c r="AP45" s="183">
        <v>0</v>
      </c>
      <c r="AQ45" s="59" t="s">
        <v>18</v>
      </c>
      <c r="AR45" s="195">
        <f t="shared" si="11"/>
        <v>0</v>
      </c>
      <c r="AS45" s="196" t="s">
        <v>23</v>
      </c>
      <c r="AT45" s="183">
        <v>0</v>
      </c>
      <c r="AU45" s="59" t="s">
        <v>18</v>
      </c>
      <c r="AV45" s="195">
        <f t="shared" si="12"/>
        <v>0</v>
      </c>
      <c r="AW45" s="196" t="s">
        <v>23</v>
      </c>
      <c r="AX45" s="183">
        <v>0</v>
      </c>
      <c r="AY45" s="59" t="s">
        <v>18</v>
      </c>
      <c r="AZ45" s="195">
        <f t="shared" si="13"/>
        <v>0</v>
      </c>
      <c r="BA45" s="196" t="s">
        <v>23</v>
      </c>
      <c r="BB45" s="183">
        <v>0</v>
      </c>
      <c r="BC45" s="59" t="s">
        <v>18</v>
      </c>
      <c r="BD45" s="195">
        <f t="shared" si="14"/>
        <v>0</v>
      </c>
      <c r="BE45" s="196" t="s">
        <v>23</v>
      </c>
      <c r="BF45" s="183">
        <v>0</v>
      </c>
      <c r="BG45" s="59" t="s">
        <v>18</v>
      </c>
      <c r="BH45" s="195">
        <f t="shared" si="15"/>
        <v>0</v>
      </c>
      <c r="BI45" s="196" t="s">
        <v>23</v>
      </c>
      <c r="BJ45" s="183">
        <v>0</v>
      </c>
      <c r="BK45" s="59" t="s">
        <v>18</v>
      </c>
      <c r="BL45" s="195">
        <f t="shared" si="16"/>
        <v>0</v>
      </c>
      <c r="BM45" s="196" t="s">
        <v>23</v>
      </c>
      <c r="BN45" s="183">
        <v>0</v>
      </c>
      <c r="BO45" s="59" t="s">
        <v>18</v>
      </c>
      <c r="BP45" s="195">
        <f t="shared" si="17"/>
        <v>0</v>
      </c>
      <c r="BQ45" s="196" t="s">
        <v>23</v>
      </c>
      <c r="BR45" s="183">
        <v>0</v>
      </c>
      <c r="BS45" s="59" t="s">
        <v>18</v>
      </c>
      <c r="BT45" s="195">
        <f t="shared" si="18"/>
        <v>0</v>
      </c>
      <c r="BU45" s="196" t="s">
        <v>23</v>
      </c>
      <c r="BV45" s="183">
        <v>0</v>
      </c>
      <c r="BW45" s="59" t="s">
        <v>18</v>
      </c>
      <c r="BX45" s="195">
        <f t="shared" si="19"/>
        <v>0</v>
      </c>
      <c r="BY45" s="196" t="s">
        <v>23</v>
      </c>
      <c r="BZ45" s="183">
        <v>0</v>
      </c>
      <c r="CA45" s="59" t="s">
        <v>18</v>
      </c>
      <c r="CB45" s="195">
        <f t="shared" si="20"/>
        <v>0</v>
      </c>
      <c r="CC45" s="196" t="s">
        <v>23</v>
      </c>
    </row>
    <row r="46" spans="1:81" ht="14.25">
      <c r="A46" s="175" t="s">
        <v>79</v>
      </c>
      <c r="B46" s="183">
        <v>1</v>
      </c>
      <c r="C46" s="59" t="s">
        <v>18</v>
      </c>
      <c r="D46" s="271">
        <f t="shared" si="1"/>
        <v>0</v>
      </c>
      <c r="E46" s="196" t="s">
        <v>23</v>
      </c>
      <c r="F46" s="183">
        <v>0</v>
      </c>
      <c r="G46" s="59" t="s">
        <v>18</v>
      </c>
      <c r="H46" s="195">
        <f t="shared" si="2"/>
        <v>0</v>
      </c>
      <c r="I46" s="196" t="s">
        <v>23</v>
      </c>
      <c r="J46" s="183">
        <v>0</v>
      </c>
      <c r="K46" s="59" t="s">
        <v>18</v>
      </c>
      <c r="L46" s="195">
        <f t="shared" si="3"/>
        <v>0</v>
      </c>
      <c r="M46" s="196" t="s">
        <v>23</v>
      </c>
      <c r="N46" s="183">
        <v>0</v>
      </c>
      <c r="O46" s="59" t="s">
        <v>18</v>
      </c>
      <c r="P46" s="195">
        <f t="shared" si="4"/>
        <v>0</v>
      </c>
      <c r="Q46" s="196" t="s">
        <v>23</v>
      </c>
      <c r="R46" s="183">
        <v>0</v>
      </c>
      <c r="S46" s="59" t="s">
        <v>18</v>
      </c>
      <c r="T46" s="195">
        <f t="shared" si="5"/>
        <v>0</v>
      </c>
      <c r="U46" s="196" t="s">
        <v>23</v>
      </c>
      <c r="V46" s="183">
        <v>0</v>
      </c>
      <c r="W46" s="59" t="s">
        <v>18</v>
      </c>
      <c r="X46" s="195">
        <f t="shared" si="6"/>
        <v>0</v>
      </c>
      <c r="Y46" s="196" t="s">
        <v>23</v>
      </c>
      <c r="Z46" s="183">
        <v>0</v>
      </c>
      <c r="AA46" s="59" t="s">
        <v>18</v>
      </c>
      <c r="AB46" s="195">
        <f t="shared" si="7"/>
        <v>0</v>
      </c>
      <c r="AC46" s="196" t="s">
        <v>23</v>
      </c>
      <c r="AD46" s="183">
        <v>0</v>
      </c>
      <c r="AE46" s="59" t="s">
        <v>18</v>
      </c>
      <c r="AF46" s="195">
        <f t="shared" si="8"/>
        <v>0</v>
      </c>
      <c r="AG46" s="196" t="s">
        <v>23</v>
      </c>
      <c r="AH46" s="183">
        <v>0</v>
      </c>
      <c r="AI46" s="59" t="s">
        <v>18</v>
      </c>
      <c r="AJ46" s="195">
        <f t="shared" si="9"/>
        <v>0</v>
      </c>
      <c r="AK46" s="196" t="s">
        <v>23</v>
      </c>
      <c r="AL46" s="183">
        <v>0</v>
      </c>
      <c r="AM46" s="59" t="s">
        <v>18</v>
      </c>
      <c r="AN46" s="195">
        <f t="shared" si="10"/>
        <v>0</v>
      </c>
      <c r="AO46" s="196" t="s">
        <v>23</v>
      </c>
      <c r="AP46" s="183">
        <v>0</v>
      </c>
      <c r="AQ46" s="59" t="s">
        <v>18</v>
      </c>
      <c r="AR46" s="195">
        <f t="shared" si="11"/>
        <v>0</v>
      </c>
      <c r="AS46" s="196" t="s">
        <v>23</v>
      </c>
      <c r="AT46" s="183">
        <v>0</v>
      </c>
      <c r="AU46" s="59" t="s">
        <v>18</v>
      </c>
      <c r="AV46" s="195">
        <f t="shared" si="12"/>
        <v>0</v>
      </c>
      <c r="AW46" s="196" t="s">
        <v>23</v>
      </c>
      <c r="AX46" s="183">
        <v>0</v>
      </c>
      <c r="AY46" s="59" t="s">
        <v>18</v>
      </c>
      <c r="AZ46" s="195">
        <f t="shared" si="13"/>
        <v>0</v>
      </c>
      <c r="BA46" s="196" t="s">
        <v>23</v>
      </c>
      <c r="BB46" s="183">
        <v>0</v>
      </c>
      <c r="BC46" s="59" t="s">
        <v>18</v>
      </c>
      <c r="BD46" s="195">
        <f t="shared" si="14"/>
        <v>0</v>
      </c>
      <c r="BE46" s="196" t="s">
        <v>23</v>
      </c>
      <c r="BF46" s="183">
        <v>0</v>
      </c>
      <c r="BG46" s="59" t="s">
        <v>18</v>
      </c>
      <c r="BH46" s="195">
        <f t="shared" si="15"/>
        <v>0</v>
      </c>
      <c r="BI46" s="196" t="s">
        <v>23</v>
      </c>
      <c r="BJ46" s="183">
        <v>0</v>
      </c>
      <c r="BK46" s="59" t="s">
        <v>18</v>
      </c>
      <c r="BL46" s="195">
        <f t="shared" si="16"/>
        <v>0</v>
      </c>
      <c r="BM46" s="196" t="s">
        <v>23</v>
      </c>
      <c r="BN46" s="183">
        <v>0</v>
      </c>
      <c r="BO46" s="59" t="s">
        <v>18</v>
      </c>
      <c r="BP46" s="195">
        <f t="shared" si="17"/>
        <v>0</v>
      </c>
      <c r="BQ46" s="196" t="s">
        <v>23</v>
      </c>
      <c r="BR46" s="183">
        <v>0</v>
      </c>
      <c r="BS46" s="59" t="s">
        <v>18</v>
      </c>
      <c r="BT46" s="195">
        <f t="shared" si="18"/>
        <v>0</v>
      </c>
      <c r="BU46" s="196" t="s">
        <v>23</v>
      </c>
      <c r="BV46" s="183">
        <v>0</v>
      </c>
      <c r="BW46" s="59" t="s">
        <v>18</v>
      </c>
      <c r="BX46" s="195">
        <f t="shared" si="19"/>
        <v>0</v>
      </c>
      <c r="BY46" s="196" t="s">
        <v>23</v>
      </c>
      <c r="BZ46" s="183">
        <v>0</v>
      </c>
      <c r="CA46" s="59" t="s">
        <v>18</v>
      </c>
      <c r="CB46" s="195">
        <f t="shared" si="20"/>
        <v>0</v>
      </c>
      <c r="CC46" s="196" t="s">
        <v>23</v>
      </c>
    </row>
    <row r="47" spans="1:81" ht="14.25">
      <c r="A47" s="175" t="s">
        <v>15</v>
      </c>
      <c r="B47" s="183">
        <v>1</v>
      </c>
      <c r="C47" s="59" t="s">
        <v>18</v>
      </c>
      <c r="D47" s="271">
        <f t="shared" si="1"/>
        <v>0</v>
      </c>
      <c r="E47" s="196" t="s">
        <v>23</v>
      </c>
      <c r="F47" s="183">
        <v>0</v>
      </c>
      <c r="G47" s="59" t="s">
        <v>18</v>
      </c>
      <c r="H47" s="195">
        <f t="shared" si="2"/>
        <v>0</v>
      </c>
      <c r="I47" s="196" t="s">
        <v>23</v>
      </c>
      <c r="J47" s="183">
        <v>0</v>
      </c>
      <c r="K47" s="59" t="s">
        <v>18</v>
      </c>
      <c r="L47" s="195">
        <f t="shared" si="3"/>
        <v>0</v>
      </c>
      <c r="M47" s="196" t="s">
        <v>23</v>
      </c>
      <c r="N47" s="183">
        <v>0</v>
      </c>
      <c r="O47" s="59" t="s">
        <v>18</v>
      </c>
      <c r="P47" s="195">
        <f t="shared" si="4"/>
        <v>0</v>
      </c>
      <c r="Q47" s="196" t="s">
        <v>23</v>
      </c>
      <c r="R47" s="183">
        <v>0</v>
      </c>
      <c r="S47" s="59" t="s">
        <v>18</v>
      </c>
      <c r="T47" s="195">
        <f t="shared" si="5"/>
        <v>0</v>
      </c>
      <c r="U47" s="196" t="s">
        <v>23</v>
      </c>
      <c r="V47" s="183">
        <v>0</v>
      </c>
      <c r="W47" s="59" t="s">
        <v>18</v>
      </c>
      <c r="X47" s="195">
        <f t="shared" si="6"/>
        <v>0</v>
      </c>
      <c r="Y47" s="196" t="s">
        <v>23</v>
      </c>
      <c r="Z47" s="183">
        <v>0</v>
      </c>
      <c r="AA47" s="59" t="s">
        <v>18</v>
      </c>
      <c r="AB47" s="195">
        <f t="shared" si="7"/>
        <v>0</v>
      </c>
      <c r="AC47" s="196" t="s">
        <v>23</v>
      </c>
      <c r="AD47" s="183">
        <v>0</v>
      </c>
      <c r="AE47" s="59" t="s">
        <v>18</v>
      </c>
      <c r="AF47" s="195">
        <f t="shared" si="8"/>
        <v>0</v>
      </c>
      <c r="AG47" s="196" t="s">
        <v>23</v>
      </c>
      <c r="AH47" s="183">
        <v>0</v>
      </c>
      <c r="AI47" s="59" t="s">
        <v>18</v>
      </c>
      <c r="AJ47" s="195">
        <f t="shared" si="9"/>
        <v>0</v>
      </c>
      <c r="AK47" s="196" t="s">
        <v>23</v>
      </c>
      <c r="AL47" s="183">
        <v>0</v>
      </c>
      <c r="AM47" s="59" t="s">
        <v>18</v>
      </c>
      <c r="AN47" s="195">
        <f t="shared" si="10"/>
        <v>0</v>
      </c>
      <c r="AO47" s="196" t="s">
        <v>23</v>
      </c>
      <c r="AP47" s="183">
        <v>0</v>
      </c>
      <c r="AQ47" s="59" t="s">
        <v>18</v>
      </c>
      <c r="AR47" s="195">
        <f t="shared" si="11"/>
        <v>0</v>
      </c>
      <c r="AS47" s="196" t="s">
        <v>23</v>
      </c>
      <c r="AT47" s="183">
        <v>0</v>
      </c>
      <c r="AU47" s="59" t="s">
        <v>18</v>
      </c>
      <c r="AV47" s="195">
        <f t="shared" si="12"/>
        <v>0</v>
      </c>
      <c r="AW47" s="196" t="s">
        <v>23</v>
      </c>
      <c r="AX47" s="183">
        <v>0</v>
      </c>
      <c r="AY47" s="59" t="s">
        <v>18</v>
      </c>
      <c r="AZ47" s="195">
        <f t="shared" si="13"/>
        <v>0</v>
      </c>
      <c r="BA47" s="196" t="s">
        <v>23</v>
      </c>
      <c r="BB47" s="183">
        <v>0</v>
      </c>
      <c r="BC47" s="59" t="s">
        <v>18</v>
      </c>
      <c r="BD47" s="195">
        <f t="shared" si="14"/>
        <v>0</v>
      </c>
      <c r="BE47" s="196" t="s">
        <v>23</v>
      </c>
      <c r="BF47" s="183">
        <v>0</v>
      </c>
      <c r="BG47" s="59" t="s">
        <v>18</v>
      </c>
      <c r="BH47" s="195">
        <f t="shared" si="15"/>
        <v>0</v>
      </c>
      <c r="BI47" s="196" t="s">
        <v>23</v>
      </c>
      <c r="BJ47" s="183">
        <v>0</v>
      </c>
      <c r="BK47" s="59" t="s">
        <v>18</v>
      </c>
      <c r="BL47" s="195">
        <f t="shared" si="16"/>
        <v>0</v>
      </c>
      <c r="BM47" s="196" t="s">
        <v>23</v>
      </c>
      <c r="BN47" s="183">
        <v>0</v>
      </c>
      <c r="BO47" s="59" t="s">
        <v>18</v>
      </c>
      <c r="BP47" s="195">
        <f t="shared" si="17"/>
        <v>0</v>
      </c>
      <c r="BQ47" s="196" t="s">
        <v>23</v>
      </c>
      <c r="BR47" s="183">
        <v>0</v>
      </c>
      <c r="BS47" s="59" t="s">
        <v>18</v>
      </c>
      <c r="BT47" s="195">
        <f t="shared" si="18"/>
        <v>0</v>
      </c>
      <c r="BU47" s="196" t="s">
        <v>23</v>
      </c>
      <c r="BV47" s="183">
        <v>0</v>
      </c>
      <c r="BW47" s="59" t="s">
        <v>18</v>
      </c>
      <c r="BX47" s="195">
        <f t="shared" si="19"/>
        <v>0</v>
      </c>
      <c r="BY47" s="196" t="s">
        <v>23</v>
      </c>
      <c r="BZ47" s="183">
        <v>0</v>
      </c>
      <c r="CA47" s="59" t="s">
        <v>18</v>
      </c>
      <c r="CB47" s="195">
        <f t="shared" si="20"/>
        <v>0</v>
      </c>
      <c r="CC47" s="196" t="s">
        <v>23</v>
      </c>
    </row>
    <row r="48" spans="1:81" ht="14.25">
      <c r="A48" s="175" t="s">
        <v>80</v>
      </c>
      <c r="B48" s="183">
        <v>1</v>
      </c>
      <c r="C48" s="59" t="s">
        <v>18</v>
      </c>
      <c r="D48" s="271">
        <f t="shared" si="1"/>
        <v>0</v>
      </c>
      <c r="E48" s="196" t="s">
        <v>23</v>
      </c>
      <c r="F48" s="183">
        <v>0</v>
      </c>
      <c r="G48" s="59" t="s">
        <v>18</v>
      </c>
      <c r="H48" s="195">
        <f t="shared" si="2"/>
        <v>0</v>
      </c>
      <c r="I48" s="196" t="s">
        <v>23</v>
      </c>
      <c r="J48" s="183">
        <v>0</v>
      </c>
      <c r="K48" s="59" t="s">
        <v>18</v>
      </c>
      <c r="L48" s="195">
        <f t="shared" si="3"/>
        <v>0</v>
      </c>
      <c r="M48" s="196" t="s">
        <v>23</v>
      </c>
      <c r="N48" s="183">
        <v>0</v>
      </c>
      <c r="O48" s="59" t="s">
        <v>18</v>
      </c>
      <c r="P48" s="195">
        <f t="shared" si="4"/>
        <v>0</v>
      </c>
      <c r="Q48" s="196" t="s">
        <v>23</v>
      </c>
      <c r="R48" s="183">
        <v>0</v>
      </c>
      <c r="S48" s="59" t="s">
        <v>18</v>
      </c>
      <c r="T48" s="195">
        <f t="shared" si="5"/>
        <v>0</v>
      </c>
      <c r="U48" s="196" t="s">
        <v>23</v>
      </c>
      <c r="V48" s="183">
        <v>0</v>
      </c>
      <c r="W48" s="59" t="s">
        <v>18</v>
      </c>
      <c r="X48" s="195">
        <f t="shared" si="6"/>
        <v>0</v>
      </c>
      <c r="Y48" s="196" t="s">
        <v>23</v>
      </c>
      <c r="Z48" s="183">
        <v>0</v>
      </c>
      <c r="AA48" s="59" t="s">
        <v>18</v>
      </c>
      <c r="AB48" s="195">
        <f t="shared" si="7"/>
        <v>0</v>
      </c>
      <c r="AC48" s="196" t="s">
        <v>23</v>
      </c>
      <c r="AD48" s="183">
        <v>0</v>
      </c>
      <c r="AE48" s="59" t="s">
        <v>18</v>
      </c>
      <c r="AF48" s="195">
        <f t="shared" si="8"/>
        <v>0</v>
      </c>
      <c r="AG48" s="196" t="s">
        <v>23</v>
      </c>
      <c r="AH48" s="183">
        <v>0</v>
      </c>
      <c r="AI48" s="59" t="s">
        <v>18</v>
      </c>
      <c r="AJ48" s="195">
        <f t="shared" si="9"/>
        <v>0</v>
      </c>
      <c r="AK48" s="196" t="s">
        <v>23</v>
      </c>
      <c r="AL48" s="183">
        <v>0</v>
      </c>
      <c r="AM48" s="59" t="s">
        <v>18</v>
      </c>
      <c r="AN48" s="195">
        <f t="shared" si="10"/>
        <v>0</v>
      </c>
      <c r="AO48" s="196" t="s">
        <v>23</v>
      </c>
      <c r="AP48" s="183">
        <v>0</v>
      </c>
      <c r="AQ48" s="59" t="s">
        <v>18</v>
      </c>
      <c r="AR48" s="195">
        <f t="shared" si="11"/>
        <v>0</v>
      </c>
      <c r="AS48" s="196" t="s">
        <v>23</v>
      </c>
      <c r="AT48" s="183">
        <v>0</v>
      </c>
      <c r="AU48" s="59" t="s">
        <v>18</v>
      </c>
      <c r="AV48" s="195">
        <f t="shared" si="12"/>
        <v>0</v>
      </c>
      <c r="AW48" s="196" t="s">
        <v>23</v>
      </c>
      <c r="AX48" s="183">
        <v>0</v>
      </c>
      <c r="AY48" s="59" t="s">
        <v>18</v>
      </c>
      <c r="AZ48" s="195">
        <f t="shared" si="13"/>
        <v>0</v>
      </c>
      <c r="BA48" s="196" t="s">
        <v>23</v>
      </c>
      <c r="BB48" s="183">
        <v>0</v>
      </c>
      <c r="BC48" s="59" t="s">
        <v>18</v>
      </c>
      <c r="BD48" s="195">
        <f t="shared" si="14"/>
        <v>0</v>
      </c>
      <c r="BE48" s="196" t="s">
        <v>23</v>
      </c>
      <c r="BF48" s="183">
        <v>0</v>
      </c>
      <c r="BG48" s="59" t="s">
        <v>18</v>
      </c>
      <c r="BH48" s="195">
        <f t="shared" si="15"/>
        <v>0</v>
      </c>
      <c r="BI48" s="196" t="s">
        <v>23</v>
      </c>
      <c r="BJ48" s="183">
        <v>0</v>
      </c>
      <c r="BK48" s="59" t="s">
        <v>18</v>
      </c>
      <c r="BL48" s="195">
        <f t="shared" si="16"/>
        <v>0</v>
      </c>
      <c r="BM48" s="196" t="s">
        <v>23</v>
      </c>
      <c r="BN48" s="183">
        <v>0</v>
      </c>
      <c r="BO48" s="59" t="s">
        <v>18</v>
      </c>
      <c r="BP48" s="195">
        <f t="shared" si="17"/>
        <v>0</v>
      </c>
      <c r="BQ48" s="196" t="s">
        <v>23</v>
      </c>
      <c r="BR48" s="183">
        <v>0</v>
      </c>
      <c r="BS48" s="59" t="s">
        <v>18</v>
      </c>
      <c r="BT48" s="195">
        <f t="shared" si="18"/>
        <v>0</v>
      </c>
      <c r="BU48" s="196" t="s">
        <v>23</v>
      </c>
      <c r="BV48" s="183">
        <v>0</v>
      </c>
      <c r="BW48" s="59" t="s">
        <v>18</v>
      </c>
      <c r="BX48" s="195">
        <f t="shared" si="19"/>
        <v>0</v>
      </c>
      <c r="BY48" s="196" t="s">
        <v>23</v>
      </c>
      <c r="BZ48" s="183">
        <v>0</v>
      </c>
      <c r="CA48" s="59" t="s">
        <v>18</v>
      </c>
      <c r="CB48" s="195">
        <f t="shared" si="20"/>
        <v>0</v>
      </c>
      <c r="CC48" s="196" t="s">
        <v>23</v>
      </c>
    </row>
    <row r="49" spans="1:81" ht="14.25">
      <c r="A49" s="175" t="s">
        <v>59</v>
      </c>
      <c r="B49" s="183">
        <v>1</v>
      </c>
      <c r="C49" s="59" t="s">
        <v>18</v>
      </c>
      <c r="D49" s="271" t="e">
        <f t="shared" si="1"/>
        <v>#NUM!</v>
      </c>
      <c r="E49" s="196" t="s">
        <v>23</v>
      </c>
      <c r="F49" s="183">
        <v>0</v>
      </c>
      <c r="G49" s="59" t="s">
        <v>18</v>
      </c>
      <c r="H49" s="195" t="e">
        <f t="shared" si="2"/>
        <v>#NUM!</v>
      </c>
      <c r="I49" s="196" t="s">
        <v>23</v>
      </c>
      <c r="J49" s="183">
        <v>0</v>
      </c>
      <c r="K49" s="59" t="s">
        <v>18</v>
      </c>
      <c r="L49" s="195" t="e">
        <f t="shared" si="3"/>
        <v>#NUM!</v>
      </c>
      <c r="M49" s="196" t="s">
        <v>23</v>
      </c>
      <c r="N49" s="183">
        <v>0</v>
      </c>
      <c r="O49" s="59" t="s">
        <v>18</v>
      </c>
      <c r="P49" s="195" t="e">
        <f t="shared" si="4"/>
        <v>#NUM!</v>
      </c>
      <c r="Q49" s="196" t="s">
        <v>23</v>
      </c>
      <c r="R49" s="183">
        <v>0</v>
      </c>
      <c r="S49" s="59" t="s">
        <v>18</v>
      </c>
      <c r="T49" s="195" t="e">
        <f t="shared" si="5"/>
        <v>#NUM!</v>
      </c>
      <c r="U49" s="196" t="s">
        <v>23</v>
      </c>
      <c r="V49" s="183">
        <v>0</v>
      </c>
      <c r="W49" s="59" t="s">
        <v>18</v>
      </c>
      <c r="X49" s="195" t="e">
        <f t="shared" si="6"/>
        <v>#NUM!</v>
      </c>
      <c r="Y49" s="196" t="s">
        <v>23</v>
      </c>
      <c r="Z49" s="183">
        <v>0</v>
      </c>
      <c r="AA49" s="59" t="s">
        <v>18</v>
      </c>
      <c r="AB49" s="195" t="e">
        <f t="shared" si="7"/>
        <v>#NUM!</v>
      </c>
      <c r="AC49" s="196" t="s">
        <v>23</v>
      </c>
      <c r="AD49" s="183">
        <v>0</v>
      </c>
      <c r="AE49" s="59" t="s">
        <v>18</v>
      </c>
      <c r="AF49" s="195" t="e">
        <f t="shared" si="8"/>
        <v>#NUM!</v>
      </c>
      <c r="AG49" s="196" t="s">
        <v>23</v>
      </c>
      <c r="AH49" s="183">
        <v>0</v>
      </c>
      <c r="AI49" s="59" t="s">
        <v>18</v>
      </c>
      <c r="AJ49" s="195" t="e">
        <f t="shared" si="9"/>
        <v>#NUM!</v>
      </c>
      <c r="AK49" s="196" t="s">
        <v>23</v>
      </c>
      <c r="AL49" s="183">
        <v>0</v>
      </c>
      <c r="AM49" s="59" t="s">
        <v>18</v>
      </c>
      <c r="AN49" s="195" t="e">
        <f t="shared" si="10"/>
        <v>#NUM!</v>
      </c>
      <c r="AO49" s="196" t="s">
        <v>23</v>
      </c>
      <c r="AP49" s="183">
        <v>0</v>
      </c>
      <c r="AQ49" s="59" t="s">
        <v>18</v>
      </c>
      <c r="AR49" s="195" t="e">
        <f t="shared" si="11"/>
        <v>#NUM!</v>
      </c>
      <c r="AS49" s="196" t="s">
        <v>23</v>
      </c>
      <c r="AT49" s="183">
        <v>0</v>
      </c>
      <c r="AU49" s="59" t="s">
        <v>18</v>
      </c>
      <c r="AV49" s="195" t="e">
        <f t="shared" si="12"/>
        <v>#NUM!</v>
      </c>
      <c r="AW49" s="196" t="s">
        <v>23</v>
      </c>
      <c r="AX49" s="183">
        <v>0</v>
      </c>
      <c r="AY49" s="59" t="s">
        <v>18</v>
      </c>
      <c r="AZ49" s="195" t="e">
        <f t="shared" si="13"/>
        <v>#NUM!</v>
      </c>
      <c r="BA49" s="196" t="s">
        <v>23</v>
      </c>
      <c r="BB49" s="183">
        <v>0</v>
      </c>
      <c r="BC49" s="59" t="s">
        <v>18</v>
      </c>
      <c r="BD49" s="195" t="e">
        <f t="shared" si="14"/>
        <v>#NUM!</v>
      </c>
      <c r="BE49" s="196" t="s">
        <v>23</v>
      </c>
      <c r="BF49" s="183">
        <v>0</v>
      </c>
      <c r="BG49" s="59" t="s">
        <v>18</v>
      </c>
      <c r="BH49" s="195" t="e">
        <f t="shared" si="15"/>
        <v>#NUM!</v>
      </c>
      <c r="BI49" s="196" t="s">
        <v>23</v>
      </c>
      <c r="BJ49" s="183">
        <v>0</v>
      </c>
      <c r="BK49" s="59" t="s">
        <v>18</v>
      </c>
      <c r="BL49" s="195" t="e">
        <f t="shared" si="16"/>
        <v>#NUM!</v>
      </c>
      <c r="BM49" s="196" t="s">
        <v>23</v>
      </c>
      <c r="BN49" s="183">
        <v>0</v>
      </c>
      <c r="BO49" s="59" t="s">
        <v>18</v>
      </c>
      <c r="BP49" s="195" t="e">
        <f t="shared" si="17"/>
        <v>#NUM!</v>
      </c>
      <c r="BQ49" s="196" t="s">
        <v>23</v>
      </c>
      <c r="BR49" s="183">
        <v>0</v>
      </c>
      <c r="BS49" s="59" t="s">
        <v>18</v>
      </c>
      <c r="BT49" s="195" t="e">
        <f t="shared" si="18"/>
        <v>#NUM!</v>
      </c>
      <c r="BU49" s="196" t="s">
        <v>23</v>
      </c>
      <c r="BV49" s="183">
        <v>0</v>
      </c>
      <c r="BW49" s="59" t="s">
        <v>18</v>
      </c>
      <c r="BX49" s="195" t="e">
        <f t="shared" si="19"/>
        <v>#NUM!</v>
      </c>
      <c r="BY49" s="196" t="s">
        <v>23</v>
      </c>
      <c r="BZ49" s="183">
        <v>0</v>
      </c>
      <c r="CA49" s="59" t="s">
        <v>18</v>
      </c>
      <c r="CB49" s="195" t="e">
        <f t="shared" si="20"/>
        <v>#NUM!</v>
      </c>
      <c r="CC49" s="196" t="s">
        <v>23</v>
      </c>
    </row>
    <row r="50" spans="1:81" ht="14.25">
      <c r="A50" s="181" t="s">
        <v>60</v>
      </c>
      <c r="B50" s="183">
        <v>1</v>
      </c>
      <c r="C50" s="82" t="s">
        <v>18</v>
      </c>
      <c r="D50" s="271" t="e">
        <f t="shared" si="1"/>
        <v>#NUM!</v>
      </c>
      <c r="E50" s="196" t="s">
        <v>23</v>
      </c>
      <c r="F50" s="183">
        <v>0</v>
      </c>
      <c r="G50" s="82" t="s">
        <v>18</v>
      </c>
      <c r="H50" s="195" t="e">
        <f t="shared" si="2"/>
        <v>#NUM!</v>
      </c>
      <c r="I50" s="196" t="s">
        <v>23</v>
      </c>
      <c r="J50" s="183">
        <v>0</v>
      </c>
      <c r="K50" s="82" t="s">
        <v>18</v>
      </c>
      <c r="L50" s="195" t="e">
        <f t="shared" si="3"/>
        <v>#NUM!</v>
      </c>
      <c r="M50" s="196" t="s">
        <v>23</v>
      </c>
      <c r="N50" s="183">
        <v>0</v>
      </c>
      <c r="O50" s="82" t="s">
        <v>18</v>
      </c>
      <c r="P50" s="195" t="e">
        <f t="shared" si="4"/>
        <v>#NUM!</v>
      </c>
      <c r="Q50" s="196" t="s">
        <v>23</v>
      </c>
      <c r="R50" s="183">
        <v>0</v>
      </c>
      <c r="S50" s="82" t="s">
        <v>18</v>
      </c>
      <c r="T50" s="195" t="e">
        <f t="shared" si="5"/>
        <v>#NUM!</v>
      </c>
      <c r="U50" s="196" t="s">
        <v>23</v>
      </c>
      <c r="V50" s="183">
        <v>0</v>
      </c>
      <c r="W50" s="82" t="s">
        <v>18</v>
      </c>
      <c r="X50" s="195" t="e">
        <f t="shared" si="6"/>
        <v>#NUM!</v>
      </c>
      <c r="Y50" s="196" t="s">
        <v>23</v>
      </c>
      <c r="Z50" s="183">
        <v>0</v>
      </c>
      <c r="AA50" s="82" t="s">
        <v>18</v>
      </c>
      <c r="AB50" s="195" t="e">
        <f t="shared" si="7"/>
        <v>#NUM!</v>
      </c>
      <c r="AC50" s="196" t="s">
        <v>23</v>
      </c>
      <c r="AD50" s="183">
        <v>0</v>
      </c>
      <c r="AE50" s="82" t="s">
        <v>18</v>
      </c>
      <c r="AF50" s="195" t="e">
        <f t="shared" si="8"/>
        <v>#NUM!</v>
      </c>
      <c r="AG50" s="196" t="s">
        <v>23</v>
      </c>
      <c r="AH50" s="183">
        <v>0</v>
      </c>
      <c r="AI50" s="82" t="s">
        <v>18</v>
      </c>
      <c r="AJ50" s="195" t="e">
        <f t="shared" si="9"/>
        <v>#NUM!</v>
      </c>
      <c r="AK50" s="196" t="s">
        <v>23</v>
      </c>
      <c r="AL50" s="183">
        <v>0</v>
      </c>
      <c r="AM50" s="82" t="s">
        <v>18</v>
      </c>
      <c r="AN50" s="195" t="e">
        <f t="shared" si="10"/>
        <v>#NUM!</v>
      </c>
      <c r="AO50" s="196" t="s">
        <v>23</v>
      </c>
      <c r="AP50" s="183">
        <v>0</v>
      </c>
      <c r="AQ50" s="82" t="s">
        <v>18</v>
      </c>
      <c r="AR50" s="195" t="e">
        <f t="shared" si="11"/>
        <v>#NUM!</v>
      </c>
      <c r="AS50" s="196" t="s">
        <v>23</v>
      </c>
      <c r="AT50" s="183">
        <v>0</v>
      </c>
      <c r="AU50" s="82" t="s">
        <v>18</v>
      </c>
      <c r="AV50" s="195" t="e">
        <f t="shared" si="12"/>
        <v>#NUM!</v>
      </c>
      <c r="AW50" s="196" t="s">
        <v>23</v>
      </c>
      <c r="AX50" s="183">
        <v>0</v>
      </c>
      <c r="AY50" s="82" t="s">
        <v>18</v>
      </c>
      <c r="AZ50" s="195" t="e">
        <f t="shared" si="13"/>
        <v>#NUM!</v>
      </c>
      <c r="BA50" s="196" t="s">
        <v>23</v>
      </c>
      <c r="BB50" s="183">
        <v>0</v>
      </c>
      <c r="BC50" s="82" t="s">
        <v>18</v>
      </c>
      <c r="BD50" s="195" t="e">
        <f t="shared" si="14"/>
        <v>#NUM!</v>
      </c>
      <c r="BE50" s="196" t="s">
        <v>23</v>
      </c>
      <c r="BF50" s="183">
        <v>0</v>
      </c>
      <c r="BG50" s="82" t="s">
        <v>18</v>
      </c>
      <c r="BH50" s="195" t="e">
        <f t="shared" si="15"/>
        <v>#NUM!</v>
      </c>
      <c r="BI50" s="196" t="s">
        <v>23</v>
      </c>
      <c r="BJ50" s="183">
        <v>0</v>
      </c>
      <c r="BK50" s="82" t="s">
        <v>18</v>
      </c>
      <c r="BL50" s="195" t="e">
        <f t="shared" si="16"/>
        <v>#NUM!</v>
      </c>
      <c r="BM50" s="196" t="s">
        <v>23</v>
      </c>
      <c r="BN50" s="183">
        <v>0</v>
      </c>
      <c r="BO50" s="82" t="s">
        <v>18</v>
      </c>
      <c r="BP50" s="195" t="e">
        <f t="shared" si="17"/>
        <v>#NUM!</v>
      </c>
      <c r="BQ50" s="196" t="s">
        <v>23</v>
      </c>
      <c r="BR50" s="183">
        <v>0</v>
      </c>
      <c r="BS50" s="82" t="s">
        <v>18</v>
      </c>
      <c r="BT50" s="195" t="e">
        <f t="shared" si="18"/>
        <v>#NUM!</v>
      </c>
      <c r="BU50" s="196" t="s">
        <v>23</v>
      </c>
      <c r="BV50" s="183">
        <v>0</v>
      </c>
      <c r="BW50" s="82" t="s">
        <v>18</v>
      </c>
      <c r="BX50" s="195" t="e">
        <f t="shared" si="19"/>
        <v>#NUM!</v>
      </c>
      <c r="BY50" s="196" t="s">
        <v>23</v>
      </c>
      <c r="BZ50" s="183">
        <v>0</v>
      </c>
      <c r="CA50" s="82" t="s">
        <v>18</v>
      </c>
      <c r="CB50" s="195" t="e">
        <f t="shared" si="20"/>
        <v>#NUM!</v>
      </c>
      <c r="CC50" s="196" t="s">
        <v>23</v>
      </c>
    </row>
    <row r="51" spans="1:81" ht="14.25">
      <c r="A51" s="175" t="s">
        <v>61</v>
      </c>
      <c r="B51" s="183">
        <v>1</v>
      </c>
      <c r="C51" s="59" t="s">
        <v>18</v>
      </c>
      <c r="D51" s="271" t="e">
        <f t="shared" si="1"/>
        <v>#NUM!</v>
      </c>
      <c r="E51" s="196" t="s">
        <v>23</v>
      </c>
      <c r="F51" s="183">
        <v>0</v>
      </c>
      <c r="G51" s="59" t="s">
        <v>18</v>
      </c>
      <c r="H51" s="195" t="e">
        <f t="shared" si="2"/>
        <v>#NUM!</v>
      </c>
      <c r="I51" s="196" t="s">
        <v>23</v>
      </c>
      <c r="J51" s="183">
        <v>0</v>
      </c>
      <c r="K51" s="59" t="s">
        <v>18</v>
      </c>
      <c r="L51" s="195" t="e">
        <f t="shared" si="3"/>
        <v>#NUM!</v>
      </c>
      <c r="M51" s="196" t="s">
        <v>23</v>
      </c>
      <c r="N51" s="183">
        <v>0</v>
      </c>
      <c r="O51" s="59" t="s">
        <v>18</v>
      </c>
      <c r="P51" s="195" t="e">
        <f t="shared" si="4"/>
        <v>#NUM!</v>
      </c>
      <c r="Q51" s="196" t="s">
        <v>23</v>
      </c>
      <c r="R51" s="183">
        <v>0</v>
      </c>
      <c r="S51" s="59" t="s">
        <v>18</v>
      </c>
      <c r="T51" s="195" t="e">
        <f t="shared" si="5"/>
        <v>#NUM!</v>
      </c>
      <c r="U51" s="196" t="s">
        <v>23</v>
      </c>
      <c r="V51" s="183">
        <v>0</v>
      </c>
      <c r="W51" s="59" t="s">
        <v>18</v>
      </c>
      <c r="X51" s="195" t="e">
        <f t="shared" si="6"/>
        <v>#NUM!</v>
      </c>
      <c r="Y51" s="196" t="s">
        <v>23</v>
      </c>
      <c r="Z51" s="183">
        <v>0</v>
      </c>
      <c r="AA51" s="59" t="s">
        <v>18</v>
      </c>
      <c r="AB51" s="195" t="e">
        <f t="shared" si="7"/>
        <v>#NUM!</v>
      </c>
      <c r="AC51" s="196" t="s">
        <v>23</v>
      </c>
      <c r="AD51" s="183">
        <v>0</v>
      </c>
      <c r="AE51" s="59" t="s">
        <v>18</v>
      </c>
      <c r="AF51" s="195" t="e">
        <f t="shared" si="8"/>
        <v>#NUM!</v>
      </c>
      <c r="AG51" s="196" t="s">
        <v>23</v>
      </c>
      <c r="AH51" s="183">
        <v>0</v>
      </c>
      <c r="AI51" s="59" t="s">
        <v>18</v>
      </c>
      <c r="AJ51" s="195" t="e">
        <f t="shared" si="9"/>
        <v>#NUM!</v>
      </c>
      <c r="AK51" s="196" t="s">
        <v>23</v>
      </c>
      <c r="AL51" s="183">
        <v>0</v>
      </c>
      <c r="AM51" s="59" t="s">
        <v>18</v>
      </c>
      <c r="AN51" s="195" t="e">
        <f t="shared" si="10"/>
        <v>#NUM!</v>
      </c>
      <c r="AO51" s="196" t="s">
        <v>23</v>
      </c>
      <c r="AP51" s="183">
        <v>0</v>
      </c>
      <c r="AQ51" s="59" t="s">
        <v>18</v>
      </c>
      <c r="AR51" s="195" t="e">
        <f t="shared" si="11"/>
        <v>#NUM!</v>
      </c>
      <c r="AS51" s="196" t="s">
        <v>23</v>
      </c>
      <c r="AT51" s="183">
        <v>0</v>
      </c>
      <c r="AU51" s="59" t="s">
        <v>18</v>
      </c>
      <c r="AV51" s="195" t="e">
        <f t="shared" si="12"/>
        <v>#NUM!</v>
      </c>
      <c r="AW51" s="196" t="s">
        <v>23</v>
      </c>
      <c r="AX51" s="183">
        <v>0</v>
      </c>
      <c r="AY51" s="59" t="s">
        <v>18</v>
      </c>
      <c r="AZ51" s="195" t="e">
        <f t="shared" si="13"/>
        <v>#NUM!</v>
      </c>
      <c r="BA51" s="196" t="s">
        <v>23</v>
      </c>
      <c r="BB51" s="183">
        <v>0</v>
      </c>
      <c r="BC51" s="59" t="s">
        <v>18</v>
      </c>
      <c r="BD51" s="195" t="e">
        <f t="shared" si="14"/>
        <v>#NUM!</v>
      </c>
      <c r="BE51" s="196" t="s">
        <v>23</v>
      </c>
      <c r="BF51" s="183">
        <v>0</v>
      </c>
      <c r="BG51" s="59" t="s">
        <v>18</v>
      </c>
      <c r="BH51" s="195" t="e">
        <f t="shared" si="15"/>
        <v>#NUM!</v>
      </c>
      <c r="BI51" s="196" t="s">
        <v>23</v>
      </c>
      <c r="BJ51" s="183">
        <v>0</v>
      </c>
      <c r="BK51" s="59" t="s">
        <v>18</v>
      </c>
      <c r="BL51" s="195" t="e">
        <f t="shared" si="16"/>
        <v>#NUM!</v>
      </c>
      <c r="BM51" s="196" t="s">
        <v>23</v>
      </c>
      <c r="BN51" s="183">
        <v>0</v>
      </c>
      <c r="BO51" s="59" t="s">
        <v>18</v>
      </c>
      <c r="BP51" s="195" t="e">
        <f t="shared" si="17"/>
        <v>#NUM!</v>
      </c>
      <c r="BQ51" s="196" t="s">
        <v>23</v>
      </c>
      <c r="BR51" s="183">
        <v>0</v>
      </c>
      <c r="BS51" s="59" t="s">
        <v>18</v>
      </c>
      <c r="BT51" s="195" t="e">
        <f t="shared" si="18"/>
        <v>#NUM!</v>
      </c>
      <c r="BU51" s="196" t="s">
        <v>23</v>
      </c>
      <c r="BV51" s="183">
        <v>0</v>
      </c>
      <c r="BW51" s="59" t="s">
        <v>18</v>
      </c>
      <c r="BX51" s="195" t="e">
        <f t="shared" si="19"/>
        <v>#NUM!</v>
      </c>
      <c r="BY51" s="196" t="s">
        <v>23</v>
      </c>
      <c r="BZ51" s="183">
        <v>0</v>
      </c>
      <c r="CA51" s="59" t="s">
        <v>18</v>
      </c>
      <c r="CB51" s="195" t="e">
        <f t="shared" si="20"/>
        <v>#NUM!</v>
      </c>
      <c r="CC51" s="196" t="s">
        <v>23</v>
      </c>
    </row>
    <row r="52" spans="1:81" ht="14.25">
      <c r="A52" s="65" t="s">
        <v>256</v>
      </c>
      <c r="B52" s="183">
        <v>1</v>
      </c>
      <c r="C52" s="59" t="s">
        <v>18</v>
      </c>
      <c r="D52" s="271">
        <f t="shared" si="1"/>
        <v>0</v>
      </c>
      <c r="E52" s="72" t="s">
        <v>23</v>
      </c>
      <c r="F52" s="183">
        <v>0</v>
      </c>
      <c r="G52" s="59" t="s">
        <v>18</v>
      </c>
      <c r="H52" s="195">
        <f t="shared" si="2"/>
        <v>0</v>
      </c>
      <c r="I52" s="72" t="s">
        <v>23</v>
      </c>
      <c r="J52" s="183">
        <v>0</v>
      </c>
      <c r="K52" s="59" t="s">
        <v>18</v>
      </c>
      <c r="L52" s="195">
        <f t="shared" si="3"/>
        <v>0</v>
      </c>
      <c r="M52" s="72" t="s">
        <v>23</v>
      </c>
      <c r="N52" s="183">
        <v>0</v>
      </c>
      <c r="O52" s="59" t="s">
        <v>18</v>
      </c>
      <c r="P52" s="195">
        <f t="shared" si="4"/>
        <v>0</v>
      </c>
      <c r="Q52" s="72" t="s">
        <v>23</v>
      </c>
      <c r="R52" s="183">
        <v>0</v>
      </c>
      <c r="S52" s="59" t="s">
        <v>18</v>
      </c>
      <c r="T52" s="195">
        <f t="shared" si="5"/>
        <v>0</v>
      </c>
      <c r="U52" s="72" t="s">
        <v>23</v>
      </c>
      <c r="V52" s="183">
        <v>0</v>
      </c>
      <c r="W52" s="59" t="s">
        <v>18</v>
      </c>
      <c r="X52" s="195">
        <f t="shared" si="6"/>
        <v>0</v>
      </c>
      <c r="Y52" s="72" t="s">
        <v>23</v>
      </c>
      <c r="Z52" s="183">
        <v>0</v>
      </c>
      <c r="AA52" s="59" t="s">
        <v>18</v>
      </c>
      <c r="AB52" s="195">
        <f t="shared" si="7"/>
        <v>0</v>
      </c>
      <c r="AC52" s="72" t="s">
        <v>23</v>
      </c>
      <c r="AD52" s="183">
        <v>0</v>
      </c>
      <c r="AE52" s="59" t="s">
        <v>18</v>
      </c>
      <c r="AF52" s="195">
        <f t="shared" si="8"/>
        <v>0</v>
      </c>
      <c r="AG52" s="72" t="s">
        <v>23</v>
      </c>
      <c r="AH52" s="183">
        <v>0</v>
      </c>
      <c r="AI52" s="59" t="s">
        <v>18</v>
      </c>
      <c r="AJ52" s="195">
        <f t="shared" si="9"/>
        <v>0</v>
      </c>
      <c r="AK52" s="72" t="s">
        <v>23</v>
      </c>
      <c r="AL52" s="183">
        <v>0</v>
      </c>
      <c r="AM52" s="59" t="s">
        <v>18</v>
      </c>
      <c r="AN52" s="195">
        <f t="shared" si="10"/>
        <v>0</v>
      </c>
      <c r="AO52" s="72" t="s">
        <v>23</v>
      </c>
      <c r="AP52" s="183">
        <v>0</v>
      </c>
      <c r="AQ52" s="59" t="s">
        <v>18</v>
      </c>
      <c r="AR52" s="195">
        <f t="shared" si="11"/>
        <v>0</v>
      </c>
      <c r="AS52" s="72" t="s">
        <v>23</v>
      </c>
      <c r="AT52" s="183">
        <v>0</v>
      </c>
      <c r="AU52" s="59" t="s">
        <v>18</v>
      </c>
      <c r="AV52" s="195">
        <f t="shared" si="12"/>
        <v>0</v>
      </c>
      <c r="AW52" s="72" t="s">
        <v>23</v>
      </c>
      <c r="AX52" s="183">
        <v>0</v>
      </c>
      <c r="AY52" s="59" t="s">
        <v>18</v>
      </c>
      <c r="AZ52" s="195">
        <f t="shared" si="13"/>
        <v>0</v>
      </c>
      <c r="BA52" s="72" t="s">
        <v>23</v>
      </c>
      <c r="BB52" s="183">
        <v>0</v>
      </c>
      <c r="BC52" s="59" t="s">
        <v>18</v>
      </c>
      <c r="BD52" s="195">
        <f t="shared" si="14"/>
        <v>0</v>
      </c>
      <c r="BE52" s="72" t="s">
        <v>23</v>
      </c>
      <c r="BF52" s="183">
        <v>0</v>
      </c>
      <c r="BG52" s="59" t="s">
        <v>18</v>
      </c>
      <c r="BH52" s="195">
        <f t="shared" si="15"/>
        <v>0</v>
      </c>
      <c r="BI52" s="72" t="s">
        <v>23</v>
      </c>
      <c r="BJ52" s="183">
        <v>0</v>
      </c>
      <c r="BK52" s="59" t="s">
        <v>18</v>
      </c>
      <c r="BL52" s="195">
        <f t="shared" si="16"/>
        <v>0</v>
      </c>
      <c r="BM52" s="72" t="s">
        <v>23</v>
      </c>
      <c r="BN52" s="183">
        <v>0</v>
      </c>
      <c r="BO52" s="59" t="s">
        <v>18</v>
      </c>
      <c r="BP52" s="195">
        <f t="shared" si="17"/>
        <v>0</v>
      </c>
      <c r="BQ52" s="72" t="s">
        <v>23</v>
      </c>
      <c r="BR52" s="183">
        <v>0</v>
      </c>
      <c r="BS52" s="59" t="s">
        <v>18</v>
      </c>
      <c r="BT52" s="195">
        <f t="shared" si="18"/>
        <v>0</v>
      </c>
      <c r="BU52" s="72" t="s">
        <v>23</v>
      </c>
      <c r="BV52" s="183">
        <v>0</v>
      </c>
      <c r="BW52" s="59" t="s">
        <v>18</v>
      </c>
      <c r="BX52" s="195">
        <f t="shared" si="19"/>
        <v>0</v>
      </c>
      <c r="BY52" s="72" t="s">
        <v>23</v>
      </c>
      <c r="BZ52" s="183">
        <v>0</v>
      </c>
      <c r="CA52" s="59" t="s">
        <v>18</v>
      </c>
      <c r="CB52" s="195">
        <f t="shared" si="20"/>
        <v>0</v>
      </c>
      <c r="CC52" s="72" t="s">
        <v>23</v>
      </c>
    </row>
    <row r="53" spans="1:81">
      <c r="A53" s="212"/>
      <c r="B53" s="216"/>
      <c r="C53" s="185"/>
      <c r="D53" s="217"/>
      <c r="E53" s="89"/>
      <c r="F53" s="216"/>
      <c r="G53" s="185"/>
      <c r="H53" s="217"/>
      <c r="I53" s="89"/>
      <c r="J53" s="216"/>
      <c r="K53" s="185"/>
      <c r="L53" s="217"/>
      <c r="M53" s="89"/>
      <c r="N53" s="216"/>
      <c r="O53" s="185"/>
      <c r="P53" s="217"/>
      <c r="Q53" s="89"/>
      <c r="R53" s="216"/>
      <c r="S53" s="185"/>
      <c r="T53" s="217"/>
      <c r="U53" s="89"/>
      <c r="V53" s="216"/>
      <c r="W53" s="185"/>
      <c r="X53" s="217"/>
      <c r="Y53" s="89"/>
      <c r="Z53" s="216"/>
      <c r="AA53" s="185"/>
      <c r="AB53" s="217"/>
      <c r="AC53" s="89"/>
      <c r="AD53" s="216"/>
      <c r="AE53" s="185"/>
      <c r="AF53" s="217"/>
      <c r="AG53" s="89"/>
      <c r="AH53" s="216"/>
      <c r="AI53" s="185"/>
      <c r="AJ53" s="217"/>
      <c r="AK53" s="89"/>
      <c r="AL53" s="216"/>
      <c r="AM53" s="185"/>
      <c r="AN53" s="217"/>
      <c r="AO53" s="89"/>
      <c r="AP53" s="216"/>
      <c r="AQ53" s="185"/>
      <c r="AR53" s="217"/>
      <c r="AS53" s="89"/>
      <c r="AT53" s="216"/>
      <c r="AU53" s="185"/>
      <c r="AV53" s="217"/>
      <c r="AW53" s="89"/>
      <c r="AX53" s="216"/>
      <c r="AY53" s="185"/>
      <c r="AZ53" s="217"/>
      <c r="BA53" s="89"/>
      <c r="BB53" s="216"/>
      <c r="BC53" s="185"/>
      <c r="BD53" s="217"/>
      <c r="BE53" s="89"/>
      <c r="BF53" s="216"/>
      <c r="BG53" s="185"/>
      <c r="BH53" s="217"/>
      <c r="BI53" s="89"/>
      <c r="BJ53" s="216"/>
      <c r="BK53" s="185"/>
      <c r="BL53" s="217"/>
      <c r="BM53" s="89"/>
      <c r="BN53" s="216"/>
      <c r="BO53" s="185"/>
      <c r="BP53" s="217"/>
      <c r="BQ53" s="89"/>
      <c r="BR53" s="216"/>
      <c r="BS53" s="185"/>
      <c r="BT53" s="217"/>
      <c r="BU53" s="89"/>
      <c r="BV53" s="216"/>
      <c r="BW53" s="185"/>
      <c r="BX53" s="217"/>
      <c r="BY53" s="89"/>
      <c r="BZ53" s="216"/>
      <c r="CA53" s="185"/>
      <c r="CB53" s="217"/>
      <c r="CC53" s="89"/>
    </row>
    <row r="54" spans="1:81">
      <c r="O54" s="79"/>
      <c r="P54" s="197"/>
    </row>
    <row r="55" spans="1:81">
      <c r="D55" s="161"/>
      <c r="E55" s="161"/>
      <c r="H55" s="161"/>
      <c r="I55" s="161"/>
      <c r="O55" s="79"/>
      <c r="P55" s="198"/>
    </row>
    <row r="56" spans="1:81">
      <c r="E56" s="161"/>
    </row>
    <row r="58" spans="1:81">
      <c r="A58" s="290" t="s">
        <v>248</v>
      </c>
      <c r="B58" s="290"/>
      <c r="C58" s="290"/>
      <c r="D58" s="290"/>
      <c r="E58" s="290"/>
      <c r="F58" s="290"/>
      <c r="G58" s="290"/>
    </row>
    <row r="59" spans="1:81" ht="63.75">
      <c r="A59" s="192" t="s">
        <v>62</v>
      </c>
      <c r="B59" s="187" t="s">
        <v>193</v>
      </c>
      <c r="C59" s="194" t="s">
        <v>202</v>
      </c>
      <c r="D59" s="199" t="s">
        <v>249</v>
      </c>
      <c r="E59" s="194" t="s">
        <v>202</v>
      </c>
      <c r="F59" s="199" t="s">
        <v>250</v>
      </c>
      <c r="G59" s="194" t="s">
        <v>202</v>
      </c>
      <c r="H59" s="200"/>
    </row>
    <row r="60" spans="1:81" ht="14.25">
      <c r="A60" s="177" t="s">
        <v>17</v>
      </c>
      <c r="B60" s="232">
        <f t="shared" ref="B60:B81" si="21">SUM(D27,H27,L27,P27,T27,X27,AB27,AF27,AJ27,AN27,AR27,AV27,AZ27,BD27,BH27,BL27,BP27,BT27,BX27,CB27)</f>
        <v>0</v>
      </c>
      <c r="C60" s="201" t="s">
        <v>23</v>
      </c>
      <c r="D60" s="202">
        <f>(F60-B60)/(SUM($B$25,$F$25,$J$25,$N$25,$R$25,$V$25,$Z$25,$AD$25,$AH$25,$AL$25,$AP$25,$AT$25,$AX$25,$BB$25,$BF$25,$BJ$25,$BN$25,$BR$25,$BV$25,$BZ$25))</f>
        <v>1</v>
      </c>
      <c r="E60" s="59" t="s">
        <v>18</v>
      </c>
      <c r="F60" s="203">
        <f t="shared" ref="F60:F81" si="22">(B27*$B$25)+(F27*$F$25)+(J27*$J$25)+(N27*$N$25)+(R27*$R$25)+(V27*$V$25)+(Z27*$Z$25)+(AD27*$AD$25)+(AH27*$AH$25)+(AL27*$AL$25)+(AP27*$AP$25)+(AT27*$AT$25)+(AX27*$AX$25)+(BB27*$BB$25)+(BF27*$BF$25)+(BJ27*$BJ$25)+(BN27*$BN$25)+(BR27*$BR$25)+(BV27*$BV$25)+(BZ27*$BZ$25)</f>
        <v>1</v>
      </c>
      <c r="G60" s="72" t="s">
        <v>23</v>
      </c>
      <c r="H60" s="204"/>
    </row>
    <row r="61" spans="1:81" ht="14.25">
      <c r="A61" s="178" t="s">
        <v>6</v>
      </c>
      <c r="B61" s="232">
        <f t="shared" si="21"/>
        <v>0</v>
      </c>
      <c r="C61" s="201" t="s">
        <v>23</v>
      </c>
      <c r="D61" s="202">
        <f t="shared" ref="D61:D85" si="23">(F61-B61)/(SUM($B$25,$F$25,$J$25,$N$25,$R$25,$V$25,$Z$25,$AD$25,$AH$25,$AL$25,$AP$25,$AT$25,$AX$25,$BB$25,$BF$25,$BJ$25,$BN$25,$BR$25,$BV$25,$BZ$25))</f>
        <v>1</v>
      </c>
      <c r="E61" s="59" t="s">
        <v>18</v>
      </c>
      <c r="F61" s="203">
        <f t="shared" si="22"/>
        <v>1</v>
      </c>
      <c r="G61" s="72" t="s">
        <v>23</v>
      </c>
      <c r="H61" s="204"/>
    </row>
    <row r="62" spans="1:81" ht="14.25">
      <c r="A62" s="178" t="s">
        <v>13</v>
      </c>
      <c r="B62" s="232">
        <f t="shared" si="21"/>
        <v>0</v>
      </c>
      <c r="C62" s="201" t="s">
        <v>23</v>
      </c>
      <c r="D62" s="202">
        <f t="shared" si="23"/>
        <v>1</v>
      </c>
      <c r="E62" s="59" t="s">
        <v>18</v>
      </c>
      <c r="F62" s="203">
        <f t="shared" si="22"/>
        <v>1</v>
      </c>
      <c r="G62" s="72" t="s">
        <v>23</v>
      </c>
      <c r="H62" s="204"/>
    </row>
    <row r="63" spans="1:81" ht="14.25">
      <c r="A63" s="177" t="s">
        <v>69</v>
      </c>
      <c r="B63" s="232">
        <f t="shared" si="21"/>
        <v>0</v>
      </c>
      <c r="C63" s="201" t="s">
        <v>23</v>
      </c>
      <c r="D63" s="202">
        <f t="shared" si="23"/>
        <v>1</v>
      </c>
      <c r="E63" s="59" t="s">
        <v>18</v>
      </c>
      <c r="F63" s="203">
        <f t="shared" si="22"/>
        <v>1</v>
      </c>
      <c r="G63" s="72" t="s">
        <v>23</v>
      </c>
      <c r="H63" s="204"/>
    </row>
    <row r="64" spans="1:81" ht="14.25">
      <c r="A64" s="178" t="s">
        <v>9</v>
      </c>
      <c r="B64" s="232">
        <f t="shared" si="21"/>
        <v>0</v>
      </c>
      <c r="C64" s="201" t="s">
        <v>23</v>
      </c>
      <c r="D64" s="202">
        <f t="shared" si="23"/>
        <v>1</v>
      </c>
      <c r="E64" s="59" t="s">
        <v>18</v>
      </c>
      <c r="F64" s="203">
        <f t="shared" si="22"/>
        <v>1</v>
      </c>
      <c r="G64" s="72" t="s">
        <v>23</v>
      </c>
      <c r="H64" s="204"/>
    </row>
    <row r="65" spans="1:8" ht="14.25">
      <c r="A65" s="179" t="s">
        <v>7</v>
      </c>
      <c r="B65" s="232">
        <f t="shared" si="21"/>
        <v>0</v>
      </c>
      <c r="C65" s="201" t="s">
        <v>23</v>
      </c>
      <c r="D65" s="202">
        <f t="shared" si="23"/>
        <v>1</v>
      </c>
      <c r="E65" s="59" t="s">
        <v>18</v>
      </c>
      <c r="F65" s="203">
        <f t="shared" si="22"/>
        <v>1</v>
      </c>
      <c r="G65" s="72" t="s">
        <v>23</v>
      </c>
      <c r="H65" s="204"/>
    </row>
    <row r="66" spans="1:8" ht="14.25">
      <c r="A66" s="178" t="s">
        <v>8</v>
      </c>
      <c r="B66" s="232">
        <f t="shared" si="21"/>
        <v>0</v>
      </c>
      <c r="C66" s="201" t="s">
        <v>23</v>
      </c>
      <c r="D66" s="202">
        <f t="shared" si="23"/>
        <v>1</v>
      </c>
      <c r="E66" s="59" t="s">
        <v>18</v>
      </c>
      <c r="F66" s="203">
        <f t="shared" si="22"/>
        <v>1</v>
      </c>
      <c r="G66" s="72" t="s">
        <v>23</v>
      </c>
      <c r="H66" s="204"/>
    </row>
    <row r="67" spans="1:8" ht="14.25">
      <c r="A67" s="178" t="s">
        <v>11</v>
      </c>
      <c r="B67" s="232">
        <f t="shared" si="21"/>
        <v>0</v>
      </c>
      <c r="C67" s="201" t="s">
        <v>23</v>
      </c>
      <c r="D67" s="202">
        <f t="shared" si="23"/>
        <v>1</v>
      </c>
      <c r="E67" s="59" t="s">
        <v>18</v>
      </c>
      <c r="F67" s="203">
        <f t="shared" si="22"/>
        <v>1</v>
      </c>
      <c r="G67" s="72" t="s">
        <v>23</v>
      </c>
      <c r="H67" s="204"/>
    </row>
    <row r="68" spans="1:8" ht="14.25">
      <c r="A68" s="179" t="s">
        <v>70</v>
      </c>
      <c r="B68" s="232">
        <f t="shared" si="21"/>
        <v>0</v>
      </c>
      <c r="C68" s="201" t="s">
        <v>23</v>
      </c>
      <c r="D68" s="202">
        <f t="shared" si="23"/>
        <v>1</v>
      </c>
      <c r="E68" s="59" t="s">
        <v>18</v>
      </c>
      <c r="F68" s="203">
        <f t="shared" si="22"/>
        <v>1</v>
      </c>
      <c r="G68" s="72" t="s">
        <v>23</v>
      </c>
      <c r="H68" s="204"/>
    </row>
    <row r="69" spans="1:8" ht="14.25">
      <c r="A69" s="179" t="s">
        <v>16</v>
      </c>
      <c r="B69" s="232">
        <f t="shared" si="21"/>
        <v>0</v>
      </c>
      <c r="C69" s="201" t="s">
        <v>23</v>
      </c>
      <c r="D69" s="202">
        <f t="shared" si="23"/>
        <v>1</v>
      </c>
      <c r="E69" s="59" t="s">
        <v>18</v>
      </c>
      <c r="F69" s="203">
        <f t="shared" si="22"/>
        <v>1</v>
      </c>
      <c r="G69" s="72" t="s">
        <v>23</v>
      </c>
      <c r="H69" s="204"/>
    </row>
    <row r="70" spans="1:8" ht="14.25">
      <c r="A70" s="177" t="s">
        <v>71</v>
      </c>
      <c r="B70" s="232">
        <f t="shared" si="21"/>
        <v>0</v>
      </c>
      <c r="C70" s="201" t="s">
        <v>23</v>
      </c>
      <c r="D70" s="202">
        <f t="shared" si="23"/>
        <v>1</v>
      </c>
      <c r="E70" s="59" t="s">
        <v>18</v>
      </c>
      <c r="F70" s="203">
        <f t="shared" si="22"/>
        <v>1</v>
      </c>
      <c r="G70" s="72" t="s">
        <v>23</v>
      </c>
      <c r="H70" s="204"/>
    </row>
    <row r="71" spans="1:8" ht="14.25">
      <c r="A71" s="178" t="s">
        <v>12</v>
      </c>
      <c r="B71" s="232">
        <f t="shared" si="21"/>
        <v>0</v>
      </c>
      <c r="C71" s="201" t="s">
        <v>23</v>
      </c>
      <c r="D71" s="202">
        <f t="shared" si="23"/>
        <v>1</v>
      </c>
      <c r="E71" s="59" t="s">
        <v>18</v>
      </c>
      <c r="F71" s="203">
        <f t="shared" si="22"/>
        <v>1</v>
      </c>
      <c r="G71" s="72" t="s">
        <v>23</v>
      </c>
      <c r="H71" s="204"/>
    </row>
    <row r="72" spans="1:8" ht="14.25">
      <c r="A72" s="178" t="s">
        <v>10</v>
      </c>
      <c r="B72" s="232">
        <f t="shared" si="21"/>
        <v>0</v>
      </c>
      <c r="C72" s="201" t="s">
        <v>23</v>
      </c>
      <c r="D72" s="202">
        <f t="shared" si="23"/>
        <v>1</v>
      </c>
      <c r="E72" s="59" t="s">
        <v>18</v>
      </c>
      <c r="F72" s="203">
        <f t="shared" si="22"/>
        <v>1</v>
      </c>
      <c r="G72" s="72" t="s">
        <v>23</v>
      </c>
      <c r="H72" s="204"/>
    </row>
    <row r="73" spans="1:8" ht="14.25">
      <c r="A73" s="179" t="s">
        <v>72</v>
      </c>
      <c r="B73" s="232">
        <f t="shared" si="21"/>
        <v>0</v>
      </c>
      <c r="C73" s="201" t="s">
        <v>23</v>
      </c>
      <c r="D73" s="202">
        <f t="shared" si="23"/>
        <v>1</v>
      </c>
      <c r="E73" s="59" t="s">
        <v>18</v>
      </c>
      <c r="F73" s="203">
        <f t="shared" si="22"/>
        <v>1</v>
      </c>
      <c r="G73" s="72" t="s">
        <v>23</v>
      </c>
      <c r="H73" s="204"/>
    </row>
    <row r="74" spans="1:8" ht="14.25">
      <c r="A74" s="179" t="s">
        <v>73</v>
      </c>
      <c r="B74" s="232">
        <f t="shared" si="21"/>
        <v>0</v>
      </c>
      <c r="C74" s="201" t="s">
        <v>23</v>
      </c>
      <c r="D74" s="202">
        <f t="shared" si="23"/>
        <v>1</v>
      </c>
      <c r="E74" s="59" t="s">
        <v>18</v>
      </c>
      <c r="F74" s="203">
        <f t="shared" si="22"/>
        <v>1</v>
      </c>
      <c r="G74" s="72" t="s">
        <v>23</v>
      </c>
      <c r="H74" s="204"/>
    </row>
    <row r="75" spans="1:8" ht="14.25">
      <c r="A75" s="180" t="s">
        <v>74</v>
      </c>
      <c r="B75" s="232">
        <f t="shared" si="21"/>
        <v>0</v>
      </c>
      <c r="C75" s="201" t="s">
        <v>23</v>
      </c>
      <c r="D75" s="202">
        <f t="shared" si="23"/>
        <v>1</v>
      </c>
      <c r="E75" s="59" t="s">
        <v>18</v>
      </c>
      <c r="F75" s="203">
        <f t="shared" si="22"/>
        <v>1</v>
      </c>
      <c r="G75" s="72" t="s">
        <v>23</v>
      </c>
      <c r="H75" s="204"/>
    </row>
    <row r="76" spans="1:8" ht="14.25">
      <c r="A76" s="179" t="s">
        <v>75</v>
      </c>
      <c r="B76" s="232">
        <f t="shared" si="21"/>
        <v>0</v>
      </c>
      <c r="C76" s="201" t="s">
        <v>23</v>
      </c>
      <c r="D76" s="202">
        <f t="shared" si="23"/>
        <v>1</v>
      </c>
      <c r="E76" s="59" t="s">
        <v>18</v>
      </c>
      <c r="F76" s="203">
        <f t="shared" si="22"/>
        <v>1</v>
      </c>
      <c r="G76" s="72" t="s">
        <v>23</v>
      </c>
      <c r="H76" s="204"/>
    </row>
    <row r="77" spans="1:8" ht="14.25">
      <c r="A77" s="180" t="s">
        <v>78</v>
      </c>
      <c r="B77" s="232">
        <f t="shared" si="21"/>
        <v>0</v>
      </c>
      <c r="C77" s="201" t="s">
        <v>23</v>
      </c>
      <c r="D77" s="202">
        <f t="shared" si="23"/>
        <v>1</v>
      </c>
      <c r="E77" s="59" t="s">
        <v>18</v>
      </c>
      <c r="F77" s="203">
        <f t="shared" si="22"/>
        <v>1</v>
      </c>
      <c r="G77" s="72" t="s">
        <v>23</v>
      </c>
      <c r="H77" s="204"/>
    </row>
    <row r="78" spans="1:8" ht="14.25">
      <c r="A78" s="175" t="s">
        <v>14</v>
      </c>
      <c r="B78" s="232">
        <f t="shared" si="21"/>
        <v>0</v>
      </c>
      <c r="C78" s="201" t="s">
        <v>23</v>
      </c>
      <c r="D78" s="202">
        <f t="shared" si="23"/>
        <v>1</v>
      </c>
      <c r="E78" s="59" t="s">
        <v>18</v>
      </c>
      <c r="F78" s="203">
        <f t="shared" si="22"/>
        <v>1</v>
      </c>
      <c r="G78" s="72" t="s">
        <v>23</v>
      </c>
      <c r="H78" s="204"/>
    </row>
    <row r="79" spans="1:8" ht="14.25">
      <c r="A79" s="175" t="s">
        <v>79</v>
      </c>
      <c r="B79" s="232">
        <f t="shared" si="21"/>
        <v>0</v>
      </c>
      <c r="C79" s="201" t="s">
        <v>23</v>
      </c>
      <c r="D79" s="202">
        <f t="shared" si="23"/>
        <v>1</v>
      </c>
      <c r="E79" s="59" t="s">
        <v>18</v>
      </c>
      <c r="F79" s="203">
        <f t="shared" si="22"/>
        <v>1</v>
      </c>
      <c r="G79" s="72" t="s">
        <v>23</v>
      </c>
      <c r="H79" s="204"/>
    </row>
    <row r="80" spans="1:8" ht="14.25">
      <c r="A80" s="175" t="s">
        <v>15</v>
      </c>
      <c r="B80" s="232">
        <f t="shared" si="21"/>
        <v>0</v>
      </c>
      <c r="C80" s="201" t="s">
        <v>23</v>
      </c>
      <c r="D80" s="202">
        <f t="shared" si="23"/>
        <v>1</v>
      </c>
      <c r="E80" s="59" t="s">
        <v>18</v>
      </c>
      <c r="F80" s="203">
        <f t="shared" si="22"/>
        <v>1</v>
      </c>
      <c r="G80" s="72" t="s">
        <v>23</v>
      </c>
      <c r="H80" s="204"/>
    </row>
    <row r="81" spans="1:17" ht="14.25">
      <c r="A81" s="175" t="s">
        <v>80</v>
      </c>
      <c r="B81" s="232">
        <f t="shared" si="21"/>
        <v>0</v>
      </c>
      <c r="C81" s="201" t="s">
        <v>23</v>
      </c>
      <c r="D81" s="202">
        <f t="shared" si="23"/>
        <v>1</v>
      </c>
      <c r="E81" s="59" t="s">
        <v>18</v>
      </c>
      <c r="F81" s="203">
        <f t="shared" si="22"/>
        <v>1</v>
      </c>
      <c r="G81" s="72" t="s">
        <v>23</v>
      </c>
      <c r="H81" s="204"/>
    </row>
    <row r="82" spans="1:17" ht="14.25">
      <c r="A82" s="175" t="s">
        <v>59</v>
      </c>
      <c r="B82" s="232" t="e">
        <f t="shared" ref="B82:B85" si="24">SUM(D49,H49,L49,P49,T49,X49,AB49,AF49,AJ49,AN49,AR49,AV49,AZ49,BD49,BH49,BL49,BP49,BT49,BX49,CB49)</f>
        <v>#NUM!</v>
      </c>
      <c r="C82" s="201" t="s">
        <v>23</v>
      </c>
      <c r="D82" s="202" t="e">
        <f t="shared" si="23"/>
        <v>#NUM!</v>
      </c>
      <c r="E82" s="59" t="s">
        <v>18</v>
      </c>
      <c r="F82" s="203">
        <f t="shared" ref="F82:F85" si="25">(B49*$B$25)+(F49*$F$25)+(J49*$J$25)+(N49*$N$25)+(R49*$R$25)+(V49*$V$25)+(Z49*$Z$25)+(AD49*$AD$25)+(AH49*$AH$25)+(AL49*$AL$25)+(AP49*$AP$25)+(AT49*$AT$25)+(AX49*$AX$25)+(BB49*$BB$25)+(BF49*$BF$25)+(BJ49*$BJ$25)+(BN49*$BN$25)+(BR49*$BR$25)+(BV49*$BV$25)+(BZ49*$BZ$25)</f>
        <v>1</v>
      </c>
      <c r="G82" s="72" t="s">
        <v>23</v>
      </c>
      <c r="H82" s="204"/>
    </row>
    <row r="83" spans="1:17" ht="14.25">
      <c r="A83" s="181" t="s">
        <v>60</v>
      </c>
      <c r="B83" s="232" t="e">
        <f t="shared" si="24"/>
        <v>#NUM!</v>
      </c>
      <c r="C83" s="201" t="s">
        <v>23</v>
      </c>
      <c r="D83" s="202" t="e">
        <f t="shared" si="23"/>
        <v>#NUM!</v>
      </c>
      <c r="E83" s="59" t="s">
        <v>18</v>
      </c>
      <c r="F83" s="203">
        <f t="shared" si="25"/>
        <v>1</v>
      </c>
      <c r="G83" s="72" t="s">
        <v>23</v>
      </c>
      <c r="H83" s="204"/>
    </row>
    <row r="84" spans="1:17" ht="14.25">
      <c r="A84" s="175" t="s">
        <v>61</v>
      </c>
      <c r="B84" s="232" t="e">
        <f t="shared" si="24"/>
        <v>#NUM!</v>
      </c>
      <c r="C84" s="201" t="s">
        <v>23</v>
      </c>
      <c r="D84" s="202" t="e">
        <f t="shared" si="23"/>
        <v>#NUM!</v>
      </c>
      <c r="E84" s="59" t="s">
        <v>18</v>
      </c>
      <c r="F84" s="203">
        <f t="shared" si="25"/>
        <v>1</v>
      </c>
      <c r="G84" s="72" t="s">
        <v>23</v>
      </c>
    </row>
    <row r="85" spans="1:17" ht="14.25">
      <c r="A85" s="65" t="s">
        <v>256</v>
      </c>
      <c r="B85" s="232">
        <f t="shared" si="24"/>
        <v>0</v>
      </c>
      <c r="C85" s="72" t="s">
        <v>23</v>
      </c>
      <c r="D85" s="202">
        <f t="shared" si="23"/>
        <v>1</v>
      </c>
      <c r="E85" s="59" t="s">
        <v>18</v>
      </c>
      <c r="F85" s="203">
        <f t="shared" si="25"/>
        <v>1</v>
      </c>
      <c r="G85" s="72" t="s">
        <v>23</v>
      </c>
    </row>
    <row r="86" spans="1:17">
      <c r="A86" s="212"/>
      <c r="B86" s="218"/>
      <c r="C86" s="89"/>
      <c r="D86" s="219"/>
      <c r="E86" s="185"/>
      <c r="F86" s="220"/>
      <c r="G86" s="89"/>
    </row>
    <row r="87" spans="1:17">
      <c r="B87" s="200"/>
      <c r="C87" s="200"/>
      <c r="D87" s="200"/>
      <c r="E87" s="200"/>
      <c r="F87" s="200"/>
      <c r="G87" s="200"/>
    </row>
    <row r="92" spans="1:17" ht="45">
      <c r="A92" s="205" t="s">
        <v>62</v>
      </c>
      <c r="B92" s="206" t="s">
        <v>194</v>
      </c>
      <c r="C92" s="206" t="s">
        <v>226</v>
      </c>
      <c r="D92" s="206" t="s">
        <v>195</v>
      </c>
      <c r="E92" s="206" t="s">
        <v>196</v>
      </c>
      <c r="F92" s="206" t="s">
        <v>227</v>
      </c>
      <c r="G92" s="206" t="s">
        <v>197</v>
      </c>
      <c r="H92" s="206" t="s">
        <v>228</v>
      </c>
      <c r="I92" s="206" t="s">
        <v>198</v>
      </c>
      <c r="J92" s="206" t="s">
        <v>229</v>
      </c>
      <c r="K92" s="207" t="s">
        <v>199</v>
      </c>
      <c r="L92" s="207" t="s">
        <v>230</v>
      </c>
    </row>
    <row r="93" spans="1:17">
      <c r="A93" s="60" t="s">
        <v>17</v>
      </c>
      <c r="B93" s="208">
        <f>IF(ISNUMBER('Chemical Properties'!E41),IF(0.035*LN('Chemical Properties'!E41)+0.4079&gt;1,1,IF(0.035*LN('Chemical Properties'!E41)+0.4079&lt;0,0,0.035*LN('Chemical Properties'!E41)+0.4079)),IF(0.035*LN('Chemical Properties'!E4)+0.4079&gt;1,1,IF(0.035*LN('Chemical Properties'!E4)+0.4079&lt;0,0,0.035*LN('Chemical Properties'!E4)+0.4079)))</f>
        <v>0</v>
      </c>
      <c r="C93" s="209">
        <f>B93*(1-$B$17/100)</f>
        <v>0</v>
      </c>
      <c r="D93" s="208">
        <f>IF(ISNUMBER('Chemical Properties'!E41),IF(0.005*LN('Chemical Properties'!E41)+0.0658&gt;1,1,IF(0.005*LN('Chemical Properties'!E41)+0.0658&lt;0,0,0.005*LN('Chemical Properties'!E41)+0.0658)),IF(0.005*LN('Chemical Properties'!E4)+0.0658&gt;1,1,IF(0.005*LN('Chemical Properties'!E4)+0.0658&lt;0,0,0.005*LN('Chemical Properties'!E4)+0.0658)))</f>
        <v>4.2980833749929268E-3</v>
      </c>
      <c r="E93" s="208">
        <f>IF(ISNUMBER('Chemical Properties'!E41),IF(0.009*LN('Chemical Properties'!E41)+0.1036&gt;1,1,IF(0.009*LN('Chemical Properties'!E41)+0.1036&lt;0,0,0.009*LN('Chemical Properties'!E41)+0.1036)),IF(0.009*LN('Chemical Properties'!E4)+0.1036&gt;1,1,IF(0.009*LN('Chemical Properties'!E4)+0.1036&lt;0,0,0.009*LN('Chemical Properties'!E4)+0.1036)))</f>
        <v>0</v>
      </c>
      <c r="F93" s="209">
        <f>E93*(1-$B$18/100)</f>
        <v>0</v>
      </c>
      <c r="G93" s="208">
        <f>IF(ISNUMBER('Chemical Properties'!E41),IF(0.0105*LN('Chemical Properties'!E41)+0.1416&gt;1,1,IF(0.0105*LN('Chemical Properties'!E41)+0.1416&lt;0,0,0.0105*LN('Chemical Properties'!E41)+0.1416)),IF(0.0105*LN('Chemical Properties'!E4)+0.1416&gt;1,1,IF(0.0105*LN('Chemical Properties'!E4)+0.1416&lt;0,0,0.0105*LN('Chemical Properties'!E4)+0.1416)))</f>
        <v>1.2445975087485156E-2</v>
      </c>
      <c r="H93" s="209">
        <f>G93*(1-$B$19/100)</f>
        <v>6.2229875437425834E-4</v>
      </c>
      <c r="I93" s="208">
        <f>IF(ISNUMBER('Chemical Properties'!E41),IF(0.0312*LN('Chemical Properties'!E41)+0.4163&gt;1,1,IF(0.0312*LN('Chemical Properties'!E41)+0.4163&lt;0,0,0.0312*LN('Chemical Properties'!E41)+0.4163)),IF(0.0312*LN('Chemical Properties'!E4)+0.4163&gt;1,1,IF(0.0312*LN('Chemical Properties'!E4)+0.4163&lt;0,0,0.0312*LN('Chemical Properties'!E4)+0.4163)))</f>
        <v>3.252804025995587E-2</v>
      </c>
      <c r="J93" s="209">
        <f>I93*(1-$B$20/100)</f>
        <v>1.626402012997795E-3</v>
      </c>
      <c r="K93" s="208">
        <f>IF(ISNUMBER('Chemical Properties'!E41),IF(0.0004*LN('Chemical Properties'!E41)+0.007&gt;1,1,IF(0.0004*LN('Chemical Properties'!E41)+0.007&lt;0,0,0.0004*LN('Chemical Properties'!E41)+0.007)),IF(0.0004*LN('Chemical Properties'!E4)+0.007&gt;1,1,IF(0.0004*LN('Chemical Properties'!E4)+0.007&lt;0,0,0.0004*LN('Chemical Properties'!E4)+0.007)))</f>
        <v>2.0798466699994342E-3</v>
      </c>
      <c r="L93" s="209">
        <f>K93*(1-$B$21/100)</f>
        <v>1.039923334999718E-4</v>
      </c>
      <c r="Q93" s="210"/>
    </row>
    <row r="94" spans="1:17">
      <c r="A94" s="62" t="s">
        <v>6</v>
      </c>
      <c r="B94" s="208">
        <f>IF(ISNUMBER('Chemical Properties'!E42),IF(0.035*LN('Chemical Properties'!E42)+0.4079&gt;1,1,IF(0.035*LN('Chemical Properties'!E42)+0.4079&lt;0,0,0.035*LN('Chemical Properties'!E42)+0.4079)),IF(0.035*LN('Chemical Properties'!E5)+0.4079&gt;1,1,IF(0.035*LN('Chemical Properties'!E5)+0.4079&lt;0,0,0.035*LN('Chemical Properties'!E5)+0.4079)))</f>
        <v>0.22629569183586831</v>
      </c>
      <c r="C94" s="209">
        <f t="shared" ref="C94:C118" si="26">B94*(1-$B$17/100)</f>
        <v>1.1314784591793426E-2</v>
      </c>
      <c r="D94" s="208">
        <f>IF(ISNUMBER('Chemical Properties'!E42),IF(0.005*LN('Chemical Properties'!E42)+0.0658&gt;1,1,IF(0.005*LN('Chemical Properties'!E42)+0.0658&lt;0,0,0.005*LN('Chemical Properties'!E42)+0.0658)),IF(0.005*LN('Chemical Properties'!E5)+0.0658&gt;1,1,IF(0.005*LN('Chemical Properties'!E5)+0.0658&lt;0,0,0.005*LN('Chemical Properties'!E5)+0.0658)))</f>
        <v>3.9856527405124048E-2</v>
      </c>
      <c r="E94" s="208">
        <f>IF(ISNUMBER('Chemical Properties'!E42),IF(0.009*LN('Chemical Properties'!E42)+0.1036&gt;1,1,IF(0.009*LN('Chemical Properties'!E42)+0.1036&lt;0,0,0.009*LN('Chemical Properties'!E42)+0.1036)),IF(0.009*LN('Chemical Properties'!E5)+0.1036&gt;1,1,IF(0.009*LN('Chemical Properties'!E5)+0.1036&lt;0,0,0.009*LN('Chemical Properties'!E5)+0.1036)))</f>
        <v>5.6901749329223296E-2</v>
      </c>
      <c r="F94" s="209">
        <f t="shared" ref="F94:F118" si="27">E94*(1-$B$18/100)</f>
        <v>2.8450874664611675E-3</v>
      </c>
      <c r="G94" s="208">
        <f>IF(ISNUMBER('Chemical Properties'!E42),IF(0.0105*LN('Chemical Properties'!E42)+0.1416&gt;1,1,IF(0.0105*LN('Chemical Properties'!E42)+0.1416&lt;0,0,0.0105*LN('Chemical Properties'!E42)+0.1416)),IF(0.0105*LN('Chemical Properties'!E5)+0.1416&gt;1,1,IF(0.0105*LN('Chemical Properties'!E5)+0.1416&lt;0,0,0.0105*LN('Chemical Properties'!E5)+0.1416)))</f>
        <v>8.711870755076051E-2</v>
      </c>
      <c r="H94" s="209">
        <f t="shared" ref="H94:H118" si="28">G94*(1-$B$19/100)</f>
        <v>4.3559353775380295E-3</v>
      </c>
      <c r="I94" s="208">
        <f>IF(ISNUMBER('Chemical Properties'!E42),IF(0.0312*LN('Chemical Properties'!E42)+0.4163&gt;1,1,IF(0.0312*LN('Chemical Properties'!E42)+0.4163&lt;0,0,0.0312*LN('Chemical Properties'!E42)+0.4163)),IF(0.0312*LN('Chemical Properties'!E5)+0.4163&gt;1,1,IF(0.0312*LN('Chemical Properties'!E5)+0.4163&lt;0,0,0.0312*LN('Chemical Properties'!E5)+0.4163)))</f>
        <v>0.25441273100797412</v>
      </c>
      <c r="J94" s="209">
        <f t="shared" ref="J94:J118" si="29">I94*(1-$B$20/100)</f>
        <v>1.2720636550398718E-2</v>
      </c>
      <c r="K94" s="208">
        <f>IF(ISNUMBER('Chemical Properties'!E42),IF(0.0004*LN('Chemical Properties'!E42)+0.007&gt;1,1,IF(0.0004*LN('Chemical Properties'!E42)+0.007&lt;0,0,0.0004*LN('Chemical Properties'!E42)+0.007)),IF(0.0004*LN('Chemical Properties'!E5)+0.007&gt;1,1,IF(0.0004*LN('Chemical Properties'!E5)+0.007&lt;0,0,0.0004*LN('Chemical Properties'!E5)+0.007)))</f>
        <v>4.9245221924099237E-3</v>
      </c>
      <c r="L94" s="209">
        <f t="shared" ref="L94:L118" si="30">K94*(1-$B$21/100)</f>
        <v>2.4622610962049638E-4</v>
      </c>
      <c r="Q94" s="210"/>
    </row>
    <row r="95" spans="1:17">
      <c r="A95" s="62" t="s">
        <v>13</v>
      </c>
      <c r="B95" s="208">
        <f>IF(ISNUMBER('Chemical Properties'!E43),IF(0.035*LN('Chemical Properties'!E43)+0.4079&gt;1,1,IF(0.035*LN('Chemical Properties'!E43)+0.4079&lt;0,0,0.035*LN('Chemical Properties'!E43)+0.4079)),IF(0.035*LN('Chemical Properties'!E6)+0.4079&gt;1,1,IF(0.035*LN('Chemical Properties'!E6)+0.4079&lt;0,0,0.035*LN('Chemical Properties'!E6)+0.4079)))</f>
        <v>0.2854304192019837</v>
      </c>
      <c r="C95" s="209">
        <f t="shared" si="26"/>
        <v>1.4271520960099197E-2</v>
      </c>
      <c r="D95" s="208">
        <f>IF(ISNUMBER('Chemical Properties'!E43),IF(0.005*LN('Chemical Properties'!E43)+0.0658&gt;1,1,IF(0.005*LN('Chemical Properties'!E43)+0.0658&lt;0,0,0.005*LN('Chemical Properties'!E43)+0.0658)),IF(0.005*LN('Chemical Properties'!E6)+0.0658&gt;1,1,IF(0.005*LN('Chemical Properties'!E6)+0.0658&lt;0,0,0.005*LN('Chemical Properties'!E6)+0.0658)))</f>
        <v>4.8304345600283391E-2</v>
      </c>
      <c r="E95" s="208">
        <f>IF(ISNUMBER('Chemical Properties'!E43),IF(0.009*LN('Chemical Properties'!E43)+0.1036&gt;1,1,IF(0.009*LN('Chemical Properties'!E43)+0.1036&lt;0,0,0.009*LN('Chemical Properties'!E43)+0.1036)),IF(0.009*LN('Chemical Properties'!E6)+0.1036&gt;1,1,IF(0.009*LN('Chemical Properties'!E6)+0.1036&lt;0,0,0.009*LN('Chemical Properties'!E6)+0.1036)))</f>
        <v>7.2107822080510101E-2</v>
      </c>
      <c r="F95" s="209">
        <f t="shared" si="27"/>
        <v>3.6053911040255082E-3</v>
      </c>
      <c r="G95" s="208">
        <f>IF(ISNUMBER('Chemical Properties'!E43),IF(0.0105*LN('Chemical Properties'!E43)+0.1416&gt;1,1,IF(0.0105*LN('Chemical Properties'!E43)+0.1416&lt;0,0,0.0105*LN('Chemical Properties'!E43)+0.1416)),IF(0.0105*LN('Chemical Properties'!E6)+0.1416&gt;1,1,IF(0.0105*LN('Chemical Properties'!E6)+0.1416&lt;0,0,0.0105*LN('Chemical Properties'!E6)+0.1416)))</f>
        <v>0.10485912576059511</v>
      </c>
      <c r="H95" s="209">
        <f t="shared" si="28"/>
        <v>5.2429562880297606E-3</v>
      </c>
      <c r="I95" s="208">
        <f>IF(ISNUMBER('Chemical Properties'!E43),IF(0.0312*LN('Chemical Properties'!E43)+0.4163&gt;1,1,IF(0.0312*LN('Chemical Properties'!E43)+0.4163&lt;0,0,0.0312*LN('Chemical Properties'!E43)+0.4163)),IF(0.0312*LN('Chemical Properties'!E6)+0.4163&gt;1,1,IF(0.0312*LN('Chemical Properties'!E6)+0.4163&lt;0,0,0.0312*LN('Chemical Properties'!E6)+0.4163)))</f>
        <v>0.30712711654576835</v>
      </c>
      <c r="J95" s="209">
        <f t="shared" si="29"/>
        <v>1.5356355827288431E-2</v>
      </c>
      <c r="K95" s="208">
        <f>IF(ISNUMBER('Chemical Properties'!E43),IF(0.0004*LN('Chemical Properties'!E43)+0.007&gt;1,1,IF(0.0004*LN('Chemical Properties'!E43)+0.007&lt;0,0,0.0004*LN('Chemical Properties'!E43)+0.007)),IF(0.0004*LN('Chemical Properties'!E6)+0.007&gt;1,1,IF(0.0004*LN('Chemical Properties'!E6)+0.007&lt;0,0,0.0004*LN('Chemical Properties'!E6)+0.007)))</f>
        <v>5.6003476480226714E-3</v>
      </c>
      <c r="L95" s="209">
        <f t="shared" si="30"/>
        <v>2.8001738240113384E-4</v>
      </c>
      <c r="Q95" s="210"/>
    </row>
    <row r="96" spans="1:17">
      <c r="A96" s="60" t="s">
        <v>69</v>
      </c>
      <c r="B96" s="208">
        <f>IF(ISNUMBER('Chemical Properties'!E44),IF(0.035*LN('Chemical Properties'!E44)+0.4079&gt;1,1,IF(0.035*LN('Chemical Properties'!E44)+0.4079&lt;0,0,0.035*LN('Chemical Properties'!E44)+0.4079)),IF(0.035*LN('Chemical Properties'!E7)+0.4079&gt;1,1,IF(0.035*LN('Chemical Properties'!E7)+0.4079&lt;0,0,0.035*LN('Chemical Properties'!E7)+0.4079)))</f>
        <v>6.5181883776887217E-2</v>
      </c>
      <c r="C96" s="209">
        <f t="shared" si="26"/>
        <v>3.2590941888443639E-3</v>
      </c>
      <c r="D96" s="208">
        <f>IF(ISNUMBER('Chemical Properties'!E44),IF(0.005*LN('Chemical Properties'!E44)+0.0658&gt;1,1,IF(0.005*LN('Chemical Properties'!E44)+0.0658&lt;0,0,0.005*LN('Chemical Properties'!E44)+0.0658)),IF(0.005*LN('Chemical Properties'!E7)+0.0658&gt;1,1,IF(0.005*LN('Chemical Properties'!E7)+0.0658&lt;0,0,0.005*LN('Chemical Properties'!E7)+0.0658)))</f>
        <v>1.6840269110983894E-2</v>
      </c>
      <c r="E96" s="208">
        <f>IF(ISNUMBER('Chemical Properties'!E44),IF(0.009*LN('Chemical Properties'!E44)+0.1036&gt;1,1,IF(0.009*LN('Chemical Properties'!E44)+0.1036&lt;0,0,0.009*LN('Chemical Properties'!E44)+0.1036)),IF(0.009*LN('Chemical Properties'!E7)+0.1036&gt;1,1,IF(0.009*LN('Chemical Properties'!E7)+0.1036&lt;0,0,0.009*LN('Chemical Properties'!E7)+0.1036)))</f>
        <v>1.5472484399771017E-2</v>
      </c>
      <c r="F96" s="209">
        <f t="shared" si="27"/>
        <v>7.7362421998855156E-4</v>
      </c>
      <c r="G96" s="208">
        <f>IF(ISNUMBER('Chemical Properties'!E44),IF(0.0105*LN('Chemical Properties'!E44)+0.1416&gt;1,1,IF(0.0105*LN('Chemical Properties'!E44)+0.1416&lt;0,0,0.0105*LN('Chemical Properties'!E44)+0.1416)),IF(0.0105*LN('Chemical Properties'!E7)+0.1416&gt;1,1,IF(0.0105*LN('Chemical Properties'!E7)+0.1416&lt;0,0,0.0105*LN('Chemical Properties'!E7)+0.1416)))</f>
        <v>3.8784565133066176E-2</v>
      </c>
      <c r="H96" s="209">
        <f t="shared" si="28"/>
        <v>1.9392282566533105E-3</v>
      </c>
      <c r="I96" s="208">
        <f>IF(ISNUMBER('Chemical Properties'!E44),IF(0.0312*LN('Chemical Properties'!E44)+0.4163&gt;1,1,IF(0.0312*LN('Chemical Properties'!E44)+0.4163&lt;0,0,0.0312*LN('Chemical Properties'!E44)+0.4163)),IF(0.0312*LN('Chemical Properties'!E7)+0.4163&gt;1,1,IF(0.0312*LN('Chemical Properties'!E7)+0.4163&lt;0,0,0.0312*LN('Chemical Properties'!E7)+0.4163)))</f>
        <v>0.11079127925253957</v>
      </c>
      <c r="J96" s="209">
        <f t="shared" si="29"/>
        <v>5.5395639626269833E-3</v>
      </c>
      <c r="K96" s="208">
        <f>IF(ISNUMBER('Chemical Properties'!E44),IF(0.0004*LN('Chemical Properties'!E44)+0.007&gt;1,1,IF(0.0004*LN('Chemical Properties'!E44)+0.007&lt;0,0,0.0004*LN('Chemical Properties'!E44)+0.007)),IF(0.0004*LN('Chemical Properties'!E7)+0.007&gt;1,1,IF(0.0004*LN('Chemical Properties'!E7)+0.007&lt;0,0,0.0004*LN('Chemical Properties'!E7)+0.007)))</f>
        <v>3.0832215288787114E-3</v>
      </c>
      <c r="L96" s="209">
        <f t="shared" si="30"/>
        <v>1.541610764439357E-4</v>
      </c>
      <c r="Q96" s="210"/>
    </row>
    <row r="97" spans="1:17">
      <c r="A97" s="62" t="s">
        <v>9</v>
      </c>
      <c r="B97" s="208">
        <f>IF(ISNUMBER('Chemical Properties'!E45),IF(0.035*LN('Chemical Properties'!E45)+0.4079&gt;1,1,IF(0.035*LN('Chemical Properties'!E45)+0.4079&lt;0,0,0.035*LN('Chemical Properties'!E45)+0.4079)),IF(0.035*LN('Chemical Properties'!E8)+0.4079&gt;1,1,IF(0.035*LN('Chemical Properties'!E8)+0.4079&lt;0,0,0.035*LN('Chemical Properties'!E8)+0.4079)))</f>
        <v>0.14065771334909039</v>
      </c>
      <c r="C97" s="209">
        <f t="shared" si="26"/>
        <v>7.0328856674545257E-3</v>
      </c>
      <c r="D97" s="208">
        <f>IF(ISNUMBER('Chemical Properties'!E45),IF(0.005*LN('Chemical Properties'!E45)+0.0658&gt;1,1,IF(0.005*LN('Chemical Properties'!E45)+0.0658&lt;0,0,0.005*LN('Chemical Properties'!E45)+0.0658)),IF(0.005*LN('Chemical Properties'!E8)+0.0658&gt;1,1,IF(0.005*LN('Chemical Properties'!E8)+0.0658&lt;0,0,0.005*LN('Chemical Properties'!E8)+0.0658)))</f>
        <v>2.7622530478441487E-2</v>
      </c>
      <c r="E97" s="208">
        <f>IF(ISNUMBER('Chemical Properties'!E45),IF(0.009*LN('Chemical Properties'!E45)+0.1036&gt;1,1,IF(0.009*LN('Chemical Properties'!E45)+0.1036&lt;0,0,0.009*LN('Chemical Properties'!E45)+0.1036)),IF(0.009*LN('Chemical Properties'!E8)+0.1036&gt;1,1,IF(0.009*LN('Chemical Properties'!E8)+0.1036&lt;0,0,0.009*LN('Chemical Properties'!E8)+0.1036)))</f>
        <v>3.4880554861194693E-2</v>
      </c>
      <c r="F97" s="209">
        <f t="shared" si="27"/>
        <v>1.7440277430597361E-3</v>
      </c>
      <c r="G97" s="208">
        <f>IF(ISNUMBER('Chemical Properties'!E45),IF(0.0105*LN('Chemical Properties'!E45)+0.1416&gt;1,1,IF(0.0105*LN('Chemical Properties'!E45)+0.1416&lt;0,0,0.0105*LN('Chemical Properties'!E45)+0.1416)),IF(0.0105*LN('Chemical Properties'!E8)+0.1416&gt;1,1,IF(0.0105*LN('Chemical Properties'!E8)+0.1416&lt;0,0,0.0105*LN('Chemical Properties'!E8)+0.1416)))</f>
        <v>6.1427314004727132E-2</v>
      </c>
      <c r="H97" s="209">
        <f t="shared" si="28"/>
        <v>3.0713657002363593E-3</v>
      </c>
      <c r="I97" s="208">
        <f>IF(ISNUMBER('Chemical Properties'!E45),IF(0.0312*LN('Chemical Properties'!E45)+0.4163&gt;1,1,IF(0.0312*LN('Chemical Properties'!E45)+0.4163&lt;0,0,0.0312*LN('Chemical Properties'!E45)+0.4163)),IF(0.0312*LN('Chemical Properties'!E8)+0.4163&gt;1,1,IF(0.0312*LN('Chemical Properties'!E8)+0.4163&lt;0,0,0.0312*LN('Chemical Properties'!E8)+0.4163)))</f>
        <v>0.17807259018547494</v>
      </c>
      <c r="J97" s="209">
        <f t="shared" si="29"/>
        <v>8.9036295092737548E-3</v>
      </c>
      <c r="K97" s="208">
        <f>IF(ISNUMBER('Chemical Properties'!E45),IF(0.0004*LN('Chemical Properties'!E45)+0.007&gt;1,1,IF(0.0004*LN('Chemical Properties'!E45)+0.007&lt;0,0,0.0004*LN('Chemical Properties'!E45)+0.007)),IF(0.0004*LN('Chemical Properties'!E8)+0.007&gt;1,1,IF(0.0004*LN('Chemical Properties'!E8)+0.007&lt;0,0,0.0004*LN('Chemical Properties'!E8)+0.007)))</f>
        <v>3.9458024382753188E-3</v>
      </c>
      <c r="L97" s="209">
        <f t="shared" si="30"/>
        <v>1.9729012191376611E-4</v>
      </c>
      <c r="Q97" s="210"/>
    </row>
    <row r="98" spans="1:17">
      <c r="A98" s="63" t="s">
        <v>7</v>
      </c>
      <c r="B98" s="208">
        <f>IF(ISNUMBER('Chemical Properties'!E46),IF(0.035*LN('Chemical Properties'!E46)+0.4079&gt;1,1,IF(0.035*LN('Chemical Properties'!E46)+0.4079&lt;0,0,0.035*LN('Chemical Properties'!E46)+0.4079)),IF(0.035*LN('Chemical Properties'!E9)+0.4079&gt;1,1,IF(0.035*LN('Chemical Properties'!E9)+0.4079&lt;0,0,0.035*LN('Chemical Properties'!E9)+0.4079)))</f>
        <v>0.25996431874062531</v>
      </c>
      <c r="C98" s="209">
        <f t="shared" si="26"/>
        <v>1.2998215937031278E-2</v>
      </c>
      <c r="D98" s="208">
        <f>IF(ISNUMBER('Chemical Properties'!E46),IF(0.005*LN('Chemical Properties'!E46)+0.0658&gt;1,1,IF(0.005*LN('Chemical Properties'!E46)+0.0658&lt;0,0,0.005*LN('Chemical Properties'!E46)+0.0658)),IF(0.005*LN('Chemical Properties'!E9)+0.0658&gt;1,1,IF(0.005*LN('Chemical Properties'!E9)+0.0658&lt;0,0,0.005*LN('Chemical Properties'!E9)+0.0658)))</f>
        <v>4.4666331248660762E-2</v>
      </c>
      <c r="E98" s="208">
        <f>IF(ISNUMBER('Chemical Properties'!E46),IF(0.009*LN('Chemical Properties'!E46)+0.1036&gt;1,1,IF(0.009*LN('Chemical Properties'!E46)+0.1036&lt;0,0,0.009*LN('Chemical Properties'!E46)+0.1036)),IF(0.009*LN('Chemical Properties'!E9)+0.1036&gt;1,1,IF(0.009*LN('Chemical Properties'!E9)+0.1036&lt;0,0,0.009*LN('Chemical Properties'!E9)+0.1036)))</f>
        <v>6.5559396247589385E-2</v>
      </c>
      <c r="F98" s="209">
        <f t="shared" si="27"/>
        <v>3.2779698123794722E-3</v>
      </c>
      <c r="G98" s="208">
        <f>IF(ISNUMBER('Chemical Properties'!E46),IF(0.0105*LN('Chemical Properties'!E46)+0.1416&gt;1,1,IF(0.0105*LN('Chemical Properties'!E46)+0.1416&lt;0,0,0.0105*LN('Chemical Properties'!E46)+0.1416)),IF(0.0105*LN('Chemical Properties'!E9)+0.1416&gt;1,1,IF(0.0105*LN('Chemical Properties'!E9)+0.1416&lt;0,0,0.0105*LN('Chemical Properties'!E9)+0.1416)))</f>
        <v>9.7219295622187618E-2</v>
      </c>
      <c r="H98" s="209">
        <f t="shared" si="28"/>
        <v>4.8609647811093852E-3</v>
      </c>
      <c r="I98" s="208">
        <f>IF(ISNUMBER('Chemical Properties'!E46),IF(0.0312*LN('Chemical Properties'!E46)+0.4163&gt;1,1,IF(0.0312*LN('Chemical Properties'!E46)+0.4163&lt;0,0,0.0312*LN('Chemical Properties'!E46)+0.4163)),IF(0.0312*LN('Chemical Properties'!E9)+0.4163&gt;1,1,IF(0.0312*LN('Chemical Properties'!E9)+0.4163&lt;0,0,0.0312*LN('Chemical Properties'!E9)+0.4163)))</f>
        <v>0.28442590699164316</v>
      </c>
      <c r="J98" s="209">
        <f t="shared" si="29"/>
        <v>1.4221295349582171E-2</v>
      </c>
      <c r="K98" s="208">
        <f>IF(ISNUMBER('Chemical Properties'!E46),IF(0.0004*LN('Chemical Properties'!E46)+0.007&gt;1,1,IF(0.0004*LN('Chemical Properties'!E46)+0.007&lt;0,0,0.0004*LN('Chemical Properties'!E46)+0.007)),IF(0.0004*LN('Chemical Properties'!E9)+0.007&gt;1,1,IF(0.0004*LN('Chemical Properties'!E9)+0.007&lt;0,0,0.0004*LN('Chemical Properties'!E9)+0.007)))</f>
        <v>5.3093064998928612E-3</v>
      </c>
      <c r="L98" s="209">
        <f t="shared" si="30"/>
        <v>2.6546532499464328E-4</v>
      </c>
      <c r="Q98" s="210"/>
    </row>
    <row r="99" spans="1:17">
      <c r="A99" s="62" t="s">
        <v>8</v>
      </c>
      <c r="B99" s="208">
        <f>IF(ISNUMBER('Chemical Properties'!E47),IF(0.035*LN('Chemical Properties'!E47)+0.4079&gt;1,1,IF(0.035*LN('Chemical Properties'!E47)+0.4079&lt;0,0,0.035*LN('Chemical Properties'!E47)+0.4079)),IF(0.035*LN('Chemical Properties'!E10)+0.4079&gt;1,1,IF(0.035*LN('Chemical Properties'!E10)+0.4079&lt;0,0,0.035*LN('Chemical Properties'!E10)+0.4079)))</f>
        <v>0.23838004187106773</v>
      </c>
      <c r="C99" s="209">
        <f t="shared" si="26"/>
        <v>1.1919002093553397E-2</v>
      </c>
      <c r="D99" s="208">
        <f>IF(ISNUMBER('Chemical Properties'!E47),IF(0.005*LN('Chemical Properties'!E47)+0.0658&gt;1,1,IF(0.005*LN('Chemical Properties'!E47)+0.0658&lt;0,0,0.005*LN('Chemical Properties'!E47)+0.0658)),IF(0.005*LN('Chemical Properties'!E10)+0.0658&gt;1,1,IF(0.005*LN('Chemical Properties'!E10)+0.0658&lt;0,0,0.005*LN('Chemical Properties'!E10)+0.0658)))</f>
        <v>4.1582863124438249E-2</v>
      </c>
      <c r="E99" s="208">
        <f>IF(ISNUMBER('Chemical Properties'!E47),IF(0.009*LN('Chemical Properties'!E47)+0.1036&gt;1,1,IF(0.009*LN('Chemical Properties'!E47)+0.1036&lt;0,0,0.009*LN('Chemical Properties'!E47)+0.1036)),IF(0.009*LN('Chemical Properties'!E10)+0.1036&gt;1,1,IF(0.009*LN('Chemical Properties'!E10)+0.1036&lt;0,0,0.009*LN('Chemical Properties'!E10)+0.1036)))</f>
        <v>6.0009153623988856E-2</v>
      </c>
      <c r="F99" s="209">
        <f t="shared" si="27"/>
        <v>3.0004576811994456E-3</v>
      </c>
      <c r="G99" s="208">
        <f>IF(ISNUMBER('Chemical Properties'!E47),IF(0.0105*LN('Chemical Properties'!E47)+0.1416&gt;1,1,IF(0.0105*LN('Chemical Properties'!E47)+0.1416&lt;0,0,0.0105*LN('Chemical Properties'!E47)+0.1416)),IF(0.0105*LN('Chemical Properties'!E10)+0.1416&gt;1,1,IF(0.0105*LN('Chemical Properties'!E10)+0.1416&lt;0,0,0.0105*LN('Chemical Properties'!E10)+0.1416)))</f>
        <v>9.0744012561320336E-2</v>
      </c>
      <c r="H99" s="209">
        <f t="shared" si="28"/>
        <v>4.537200628066021E-3</v>
      </c>
      <c r="I99" s="208">
        <f>IF(ISNUMBER('Chemical Properties'!E47),IF(0.0312*LN('Chemical Properties'!E47)+0.4163&gt;1,1,IF(0.0312*LN('Chemical Properties'!E47)+0.4163&lt;0,0,0.0312*LN('Chemical Properties'!E47)+0.4163)),IF(0.0312*LN('Chemical Properties'!E10)+0.4163&gt;1,1,IF(0.0312*LN('Chemical Properties'!E10)+0.4163&lt;0,0,0.0312*LN('Chemical Properties'!E10)+0.4163)))</f>
        <v>0.26518506589649471</v>
      </c>
      <c r="J99" s="209">
        <f t="shared" si="29"/>
        <v>1.3259253294824747E-2</v>
      </c>
      <c r="K99" s="208">
        <f>IF(ISNUMBER('Chemical Properties'!E47),IF(0.0004*LN('Chemical Properties'!E47)+0.007&gt;1,1,IF(0.0004*LN('Chemical Properties'!E47)+0.007&lt;0,0,0.0004*LN('Chemical Properties'!E47)+0.007)),IF(0.0004*LN('Chemical Properties'!E10)+0.007&gt;1,1,IF(0.0004*LN('Chemical Properties'!E10)+0.007&lt;0,0,0.0004*LN('Chemical Properties'!E10)+0.007)))</f>
        <v>5.06262904995506E-3</v>
      </c>
      <c r="L99" s="209">
        <f t="shared" si="30"/>
        <v>2.5313145249775322E-4</v>
      </c>
      <c r="Q99" s="210"/>
    </row>
    <row r="100" spans="1:17">
      <c r="A100" s="62" t="s">
        <v>11</v>
      </c>
      <c r="B100" s="208">
        <f>IF(ISNUMBER('Chemical Properties'!E48),IF(0.035*LN('Chemical Properties'!E48)+0.4079&gt;1,1,IF(0.035*LN('Chemical Properties'!E48)+0.4079&lt;0,0,0.035*LN('Chemical Properties'!E48)+0.4079)),IF(0.035*LN('Chemical Properties'!E11)+0.4079&gt;1,1,IF(0.035*LN('Chemical Properties'!E11)+0.4079&lt;0,0,0.035*LN('Chemical Properties'!E11)+0.4079)))</f>
        <v>0.20153459714437197</v>
      </c>
      <c r="C100" s="209">
        <f t="shared" si="26"/>
        <v>1.0076729857218608E-2</v>
      </c>
      <c r="D100" s="208">
        <f>IF(ISNUMBER('Chemical Properties'!E48),IF(0.005*LN('Chemical Properties'!E48)+0.0658&gt;1,1,IF(0.005*LN('Chemical Properties'!E48)+0.0658&lt;0,0,0.005*LN('Chemical Properties'!E48)+0.0658)),IF(0.005*LN('Chemical Properties'!E11)+0.0658&gt;1,1,IF(0.005*LN('Chemical Properties'!E11)+0.0658&lt;0,0,0.005*LN('Chemical Properties'!E11)+0.0658)))</f>
        <v>3.6319228163481709E-2</v>
      </c>
      <c r="E100" s="208">
        <f>IF(ISNUMBER('Chemical Properties'!E48),IF(0.009*LN('Chemical Properties'!E48)+0.1036&gt;1,1,IF(0.009*LN('Chemical Properties'!E48)+0.1036&lt;0,0,0.009*LN('Chemical Properties'!E48)+0.1036)),IF(0.009*LN('Chemical Properties'!E11)+0.1036&gt;1,1,IF(0.009*LN('Chemical Properties'!E11)+0.1036&lt;0,0,0.009*LN('Chemical Properties'!E11)+0.1036)))</f>
        <v>5.0534610694267089E-2</v>
      </c>
      <c r="F100" s="209">
        <f t="shared" si="27"/>
        <v>2.5267305347133565E-3</v>
      </c>
      <c r="G100" s="208">
        <f>IF(ISNUMBER('Chemical Properties'!E48),IF(0.0105*LN('Chemical Properties'!E48)+0.1416&gt;1,1,IF(0.0105*LN('Chemical Properties'!E48)+0.1416&lt;0,0,0.0105*LN('Chemical Properties'!E48)+0.1416)),IF(0.0105*LN('Chemical Properties'!E11)+0.1416&gt;1,1,IF(0.0105*LN('Chemical Properties'!E11)+0.1416&lt;0,0,0.0105*LN('Chemical Properties'!E11)+0.1416)))</f>
        <v>7.9690379143311604E-2</v>
      </c>
      <c r="H100" s="209">
        <f t="shared" si="28"/>
        <v>3.984518957165584E-3</v>
      </c>
      <c r="I100" s="208">
        <f>IF(ISNUMBER('Chemical Properties'!E48),IF(0.0312*LN('Chemical Properties'!E48)+0.4163&gt;1,1,IF(0.0312*LN('Chemical Properties'!E48)+0.4163&lt;0,0,0.0312*LN('Chemical Properties'!E48)+0.4163)),IF(0.0312*LN('Chemical Properties'!E11)+0.4163&gt;1,1,IF(0.0312*LN('Chemical Properties'!E11)+0.4163&lt;0,0,0.0312*LN('Chemical Properties'!E11)+0.4163)))</f>
        <v>0.2323399837401259</v>
      </c>
      <c r="J100" s="209">
        <f t="shared" si="29"/>
        <v>1.1616999187006306E-2</v>
      </c>
      <c r="K100" s="208">
        <f>IF(ISNUMBER('Chemical Properties'!E48),IF(0.0004*LN('Chemical Properties'!E48)+0.007&gt;1,1,IF(0.0004*LN('Chemical Properties'!E48)+0.007&lt;0,0,0.0004*LN('Chemical Properties'!E48)+0.007)),IF(0.0004*LN('Chemical Properties'!E11)+0.007&gt;1,1,IF(0.0004*LN('Chemical Properties'!E11)+0.007&lt;0,0,0.0004*LN('Chemical Properties'!E11)+0.007)))</f>
        <v>4.6415382530785379E-3</v>
      </c>
      <c r="L100" s="209">
        <f t="shared" si="30"/>
        <v>2.320769126539271E-4</v>
      </c>
      <c r="Q100" s="210"/>
    </row>
    <row r="101" spans="1:17">
      <c r="A101" s="63" t="s">
        <v>70</v>
      </c>
      <c r="B101" s="208">
        <f>IF(ISNUMBER('Chemical Properties'!E49),IF(0.035*LN('Chemical Properties'!E49)+0.4079&gt;1,1,IF(0.035*LN('Chemical Properties'!E49)+0.4079&lt;0,0,0.035*LN('Chemical Properties'!E49)+0.4079)),IF(0.035*LN('Chemical Properties'!E12)+0.4079&gt;1,1,IF(0.035*LN('Chemical Properties'!E12)+0.4079&lt;0,0,0.035*LN('Chemical Properties'!E12)+0.4079)))</f>
        <v>0.31658114113634428</v>
      </c>
      <c r="C101" s="209">
        <f t="shared" si="26"/>
        <v>1.5829057056817229E-2</v>
      </c>
      <c r="D101" s="208">
        <f>IF(ISNUMBER('Chemical Properties'!E49),IF(0.005*LN('Chemical Properties'!E49)+0.0658&gt;1,1,IF(0.005*LN('Chemical Properties'!E49)+0.0658&lt;0,0,0.005*LN('Chemical Properties'!E49)+0.0658)),IF(0.005*LN('Chemical Properties'!E12)+0.0658&gt;1,1,IF(0.005*LN('Chemical Properties'!E12)+0.0658&lt;0,0,0.005*LN('Chemical Properties'!E12)+0.0658)))</f>
        <v>5.2754448733763462E-2</v>
      </c>
      <c r="E101" s="208">
        <f>IF(ISNUMBER('Chemical Properties'!E49),IF(0.009*LN('Chemical Properties'!E49)+0.1036&gt;1,1,IF(0.009*LN('Chemical Properties'!E49)+0.1036&lt;0,0,0.009*LN('Chemical Properties'!E49)+0.1036)),IF(0.009*LN('Chemical Properties'!E12)+0.1036&gt;1,1,IF(0.009*LN('Chemical Properties'!E12)+0.1036&lt;0,0,0.009*LN('Chemical Properties'!E12)+0.1036)))</f>
        <v>8.0118007720774237E-2</v>
      </c>
      <c r="F101" s="209">
        <f t="shared" si="27"/>
        <v>4.0059003860387155E-3</v>
      </c>
      <c r="G101" s="208">
        <f>IF(ISNUMBER('Chemical Properties'!E49),IF(0.0105*LN('Chemical Properties'!E49)+0.1416&gt;1,1,IF(0.0105*LN('Chemical Properties'!E49)+0.1416&lt;0,0,0.0105*LN('Chemical Properties'!E49)+0.1416)),IF(0.0105*LN('Chemical Properties'!E12)+0.1416&gt;1,1,IF(0.0105*LN('Chemical Properties'!E12)+0.1416&lt;0,0,0.0105*LN('Chemical Properties'!E12)+0.1416)))</f>
        <v>0.11420434234090329</v>
      </c>
      <c r="H101" s="209">
        <f t="shared" si="28"/>
        <v>5.7102171170451696E-3</v>
      </c>
      <c r="I101" s="208">
        <f>IF(ISNUMBER('Chemical Properties'!E49),IF(0.0312*LN('Chemical Properties'!E49)+0.4163&gt;1,1,IF(0.0312*LN('Chemical Properties'!E49)+0.4163&lt;0,0,0.0312*LN('Chemical Properties'!E49)+0.4163)),IF(0.0312*LN('Chemical Properties'!E12)+0.4163&gt;1,1,IF(0.0312*LN('Chemical Properties'!E12)+0.4163&lt;0,0,0.0312*LN('Chemical Properties'!E12)+0.4163)))</f>
        <v>0.33489576009868405</v>
      </c>
      <c r="J101" s="209">
        <f t="shared" si="29"/>
        <v>1.6744788004934216E-2</v>
      </c>
      <c r="K101" s="208">
        <f>IF(ISNUMBER('Chemical Properties'!E49),IF(0.0004*LN('Chemical Properties'!E49)+0.007&gt;1,1,IF(0.0004*LN('Chemical Properties'!E49)+0.007&lt;0,0,0.0004*LN('Chemical Properties'!E49)+0.007)),IF(0.0004*LN('Chemical Properties'!E12)+0.007&gt;1,1,IF(0.0004*LN('Chemical Properties'!E12)+0.007&lt;0,0,0.0004*LN('Chemical Properties'!E12)+0.007)))</f>
        <v>5.9563558987010771E-3</v>
      </c>
      <c r="L101" s="209">
        <f t="shared" si="30"/>
        <v>2.9781779493505411E-4</v>
      </c>
      <c r="Q101" s="210"/>
    </row>
    <row r="102" spans="1:17">
      <c r="A102" s="63" t="s">
        <v>16</v>
      </c>
      <c r="B102" s="208">
        <f>IF(ISNUMBER('Chemical Properties'!E50),IF(0.035*LN('Chemical Properties'!E50)+0.4079&gt;1,1,IF(0.035*LN('Chemical Properties'!E50)+0.4079&lt;0,0,0.035*LN('Chemical Properties'!E50)+0.4079)),IF(0.035*LN('Chemical Properties'!E13)+0.4079&gt;1,1,IF(0.035*LN('Chemical Properties'!E13)+0.4079&lt;0,0,0.035*LN('Chemical Properties'!E13)+0.4079)))</f>
        <v>0</v>
      </c>
      <c r="C102" s="209">
        <f t="shared" si="26"/>
        <v>0</v>
      </c>
      <c r="D102" s="208">
        <f>IF(ISNUMBER('Chemical Properties'!E50),IF(0.005*LN('Chemical Properties'!E50)+0.0658&gt;1,1,IF(0.005*LN('Chemical Properties'!E50)+0.0658&lt;0,0,0.005*LN('Chemical Properties'!E50)+0.0658)),IF(0.005*LN('Chemical Properties'!E13)+0.0658&gt;1,1,IF(0.005*LN('Chemical Properties'!E13)+0.0658&lt;0,0,0.005*LN('Chemical Properties'!E13)+0.0658)))</f>
        <v>0</v>
      </c>
      <c r="E102" s="208">
        <f>IF(ISNUMBER('Chemical Properties'!E50),IF(0.009*LN('Chemical Properties'!E50)+0.1036&gt;1,1,IF(0.009*LN('Chemical Properties'!E50)+0.1036&lt;0,0,0.009*LN('Chemical Properties'!E50)+0.1036)),IF(0.009*LN('Chemical Properties'!E13)+0.1036&gt;1,1,IF(0.009*LN('Chemical Properties'!E13)+0.1036&lt;0,0,0.009*LN('Chemical Properties'!E13)+0.1036)))</f>
        <v>0</v>
      </c>
      <c r="F102" s="209">
        <f t="shared" si="27"/>
        <v>0</v>
      </c>
      <c r="G102" s="208">
        <f>IF(ISNUMBER('Chemical Properties'!E50),IF(0.0105*LN('Chemical Properties'!E50)+0.1416&gt;1,1,IF(0.0105*LN('Chemical Properties'!E50)+0.1416&lt;0,0,0.0105*LN('Chemical Properties'!E50)+0.1416)),IF(0.0105*LN('Chemical Properties'!E13)+0.1416&gt;1,1,IF(0.0105*LN('Chemical Properties'!E13)+0.1416&lt;0,0,0.0105*LN('Chemical Properties'!E13)+0.1416)))</f>
        <v>0</v>
      </c>
      <c r="H102" s="209">
        <f t="shared" si="28"/>
        <v>0</v>
      </c>
      <c r="I102" s="208">
        <f>IF(ISNUMBER('Chemical Properties'!E50),IF(0.0312*LN('Chemical Properties'!E50)+0.4163&gt;1,1,IF(0.0312*LN('Chemical Properties'!E50)+0.4163&lt;0,0,0.0312*LN('Chemical Properties'!E50)+0.4163)),IF(0.0312*LN('Chemical Properties'!E13)+0.4163&gt;1,1,IF(0.0312*LN('Chemical Properties'!E13)+0.4163&lt;0,0,0.0312*LN('Chemical Properties'!E13)+0.4163)))</f>
        <v>0</v>
      </c>
      <c r="J102" s="209">
        <f t="shared" si="29"/>
        <v>0</v>
      </c>
      <c r="K102" s="208">
        <f>IF(ISNUMBER('Chemical Properties'!E50),IF(0.0004*LN('Chemical Properties'!E50)+0.007&gt;1,1,IF(0.0004*LN('Chemical Properties'!E50)+0.007&lt;0,0,0.0004*LN('Chemical Properties'!E50)+0.007)),IF(0.0004*LN('Chemical Properties'!E13)+0.007&gt;1,1,IF(0.0004*LN('Chemical Properties'!E13)+0.007&lt;0,0,0.0004*LN('Chemical Properties'!E13)+0.007)))</f>
        <v>0</v>
      </c>
      <c r="L102" s="209">
        <f t="shared" si="30"/>
        <v>0</v>
      </c>
      <c r="Q102" s="210"/>
    </row>
    <row r="103" spans="1:17">
      <c r="A103" s="60" t="s">
        <v>71</v>
      </c>
      <c r="B103" s="208">
        <f>IF(ISNUMBER('Chemical Properties'!E51),IF(0.035*LN('Chemical Properties'!E51)+0.4079&gt;1,1,IF(0.035*LN('Chemical Properties'!E51)+0.4079&lt;0,0,0.035*LN('Chemical Properties'!E51)+0.4079)),IF(0.035*LN('Chemical Properties'!E14)+0.4079&gt;1,1,IF(0.035*LN('Chemical Properties'!E14)+0.4079&lt;0,0,0.035*LN('Chemical Properties'!E14)+0.4079)))</f>
        <v>9.6819158167864794E-2</v>
      </c>
      <c r="C103" s="209">
        <f t="shared" si="26"/>
        <v>4.8409579083932442E-3</v>
      </c>
      <c r="D103" s="208">
        <f>IF(ISNUMBER('Chemical Properties'!E51),IF(0.005*LN('Chemical Properties'!E51)+0.0658&gt;1,1,IF(0.005*LN('Chemical Properties'!E51)+0.0658&lt;0,0,0.005*LN('Chemical Properties'!E51)+0.0658)),IF(0.005*LN('Chemical Properties'!E14)+0.0658&gt;1,1,IF(0.005*LN('Chemical Properties'!E14)+0.0658&lt;0,0,0.005*LN('Chemical Properties'!E14)+0.0658)))</f>
        <v>2.1359879738266405E-2</v>
      </c>
      <c r="E103" s="208">
        <f>IF(ISNUMBER('Chemical Properties'!E51),IF(0.009*LN('Chemical Properties'!E51)+0.1036&gt;1,1,IF(0.009*LN('Chemical Properties'!E51)+0.1036&lt;0,0,0.009*LN('Chemical Properties'!E51)+0.1036)),IF(0.009*LN('Chemical Properties'!E14)+0.1036&gt;1,1,IF(0.009*LN('Chemical Properties'!E14)+0.1036&lt;0,0,0.009*LN('Chemical Properties'!E14)+0.1036)))</f>
        <v>2.3607783528879531E-2</v>
      </c>
      <c r="F103" s="209">
        <f t="shared" si="27"/>
        <v>1.1803891764439775E-3</v>
      </c>
      <c r="G103" s="208">
        <f>IF(ISNUMBER('Chemical Properties'!E51),IF(0.0105*LN('Chemical Properties'!E51)+0.1416&gt;1,1,IF(0.0105*LN('Chemical Properties'!E51)+0.1416&lt;0,0,0.0105*LN('Chemical Properties'!E51)+0.1416)),IF(0.0105*LN('Chemical Properties'!E14)+0.1416&gt;1,1,IF(0.0105*LN('Chemical Properties'!E14)+0.1416&lt;0,0,0.0105*LN('Chemical Properties'!E14)+0.1416)))</f>
        <v>4.8275747450359452E-2</v>
      </c>
      <c r="H103" s="209">
        <f t="shared" si="28"/>
        <v>2.4137873725179749E-3</v>
      </c>
      <c r="I103" s="208">
        <f>IF(ISNUMBER('Chemical Properties'!E51),IF(0.0312*LN('Chemical Properties'!E51)+0.4163&gt;1,1,IF(0.0312*LN('Chemical Properties'!E51)+0.4163&lt;0,0,0.0312*LN('Chemical Properties'!E51)+0.4163)),IF(0.0312*LN('Chemical Properties'!E14)+0.4163&gt;1,1,IF(0.0312*LN('Chemical Properties'!E14)+0.4163&lt;0,0,0.0312*LN('Chemical Properties'!E14)+0.4163)))</f>
        <v>0.1389936495667824</v>
      </c>
      <c r="J103" s="209">
        <f t="shared" si="29"/>
        <v>6.9496824783391257E-3</v>
      </c>
      <c r="K103" s="208">
        <f>IF(ISNUMBER('Chemical Properties'!E51),IF(0.0004*LN('Chemical Properties'!E51)+0.007&gt;1,1,IF(0.0004*LN('Chemical Properties'!E51)+0.007&lt;0,0,0.0004*LN('Chemical Properties'!E51)+0.007)),IF(0.0004*LN('Chemical Properties'!E14)+0.007&gt;1,1,IF(0.0004*LN('Chemical Properties'!E14)+0.007&lt;0,0,0.0004*LN('Chemical Properties'!E14)+0.007)))</f>
        <v>3.4447903790613124E-3</v>
      </c>
      <c r="L103" s="209">
        <f t="shared" si="30"/>
        <v>1.7223951895306577E-4</v>
      </c>
      <c r="Q103" s="210"/>
    </row>
    <row r="104" spans="1:17">
      <c r="A104" s="62" t="s">
        <v>12</v>
      </c>
      <c r="B104" s="208">
        <f>IF(ISNUMBER('Chemical Properties'!E52),IF(0.035*LN('Chemical Properties'!E52)+0.4079&gt;1,1,IF(0.035*LN('Chemical Properties'!E52)+0.4079&lt;0,0,0.035*LN('Chemical Properties'!E52)+0.4079)),IF(0.035*LN('Chemical Properties'!E15)+0.4079&gt;1,1,IF(0.035*LN('Chemical Properties'!E15)+0.4079&lt;0,0,0.035*LN('Chemical Properties'!E15)+0.4079)))</f>
        <v>0.23238748395771716</v>
      </c>
      <c r="C104" s="209">
        <f t="shared" si="26"/>
        <v>1.1619374197885869E-2</v>
      </c>
      <c r="D104" s="208">
        <f>IF(ISNUMBER('Chemical Properties'!E52),IF(0.005*LN('Chemical Properties'!E52)+0.0658&gt;1,1,IF(0.005*LN('Chemical Properties'!E52)+0.0658&lt;0,0,0.005*LN('Chemical Properties'!E52)+0.0658)),IF(0.005*LN('Chemical Properties'!E15)+0.0658&gt;1,1,IF(0.005*LN('Chemical Properties'!E15)+0.0658&lt;0,0,0.005*LN('Chemical Properties'!E15)+0.0658)))</f>
        <v>4.0726783422531027E-2</v>
      </c>
      <c r="E104" s="208">
        <f>IF(ISNUMBER('Chemical Properties'!E52),IF(0.009*LN('Chemical Properties'!E52)+0.1036&gt;1,1,IF(0.009*LN('Chemical Properties'!E52)+0.1036&lt;0,0,0.009*LN('Chemical Properties'!E52)+0.1036)),IF(0.009*LN('Chemical Properties'!E15)+0.1036&gt;1,1,IF(0.009*LN('Chemical Properties'!E15)+0.1036&lt;0,0,0.009*LN('Chemical Properties'!E15)+0.1036)))</f>
        <v>5.8468210160555853E-2</v>
      </c>
      <c r="F104" s="209">
        <f t="shared" si="27"/>
        <v>2.9234105080277952E-3</v>
      </c>
      <c r="G104" s="208">
        <f>IF(ISNUMBER('Chemical Properties'!E52),IF(0.0105*LN('Chemical Properties'!E52)+0.1416&gt;1,1,IF(0.0105*LN('Chemical Properties'!E52)+0.1416&lt;0,0,0.0105*LN('Chemical Properties'!E52)+0.1416)),IF(0.0105*LN('Chemical Properties'!E15)+0.1416&gt;1,1,IF(0.0105*LN('Chemical Properties'!E15)+0.1416&lt;0,0,0.0105*LN('Chemical Properties'!E15)+0.1416)))</f>
        <v>8.894624518731517E-2</v>
      </c>
      <c r="H104" s="209">
        <f t="shared" si="28"/>
        <v>4.4473122593657625E-3</v>
      </c>
      <c r="I104" s="208">
        <f>IF(ISNUMBER('Chemical Properties'!E52),IF(0.0312*LN('Chemical Properties'!E52)+0.4163&gt;1,1,IF(0.0312*LN('Chemical Properties'!E52)+0.4163&lt;0,0,0.0312*LN('Chemical Properties'!E52)+0.4163)),IF(0.0312*LN('Chemical Properties'!E15)+0.4163&gt;1,1,IF(0.0312*LN('Chemical Properties'!E15)+0.4163&lt;0,0,0.0312*LN('Chemical Properties'!E15)+0.4163)))</f>
        <v>0.25984312855659364</v>
      </c>
      <c r="J104" s="209">
        <f t="shared" si="29"/>
        <v>1.2992156427829693E-2</v>
      </c>
      <c r="K104" s="208">
        <f>IF(ISNUMBER('Chemical Properties'!E52),IF(0.0004*LN('Chemical Properties'!E52)+0.007&gt;1,1,IF(0.0004*LN('Chemical Properties'!E52)+0.007&lt;0,0,0.0004*LN('Chemical Properties'!E52)+0.007)),IF(0.0004*LN('Chemical Properties'!E15)+0.007&gt;1,1,IF(0.0004*LN('Chemical Properties'!E15)+0.007&lt;0,0,0.0004*LN('Chemical Properties'!E15)+0.007)))</f>
        <v>4.9941426738024826E-3</v>
      </c>
      <c r="L104" s="209">
        <f t="shared" si="30"/>
        <v>2.4970713369012435E-4</v>
      </c>
      <c r="Q104" s="210"/>
    </row>
    <row r="105" spans="1:17">
      <c r="A105" s="62" t="s">
        <v>10</v>
      </c>
      <c r="B105" s="208">
        <f>IF(ISNUMBER('Chemical Properties'!E53),IF(0.035*LN('Chemical Properties'!E53)+0.4079&gt;1,1,IF(0.035*LN('Chemical Properties'!E53)+0.4079&lt;0,0,0.035*LN('Chemical Properties'!E53)+0.4079)),IF(0.035*LN('Chemical Properties'!E16)+0.4079&gt;1,1,IF(0.035*LN('Chemical Properties'!E16)+0.4079&lt;0,0,0.035*LN('Chemical Properties'!E16)+0.4079)))</f>
        <v>0</v>
      </c>
      <c r="C105" s="209">
        <f t="shared" si="26"/>
        <v>0</v>
      </c>
      <c r="D105" s="208">
        <f>IF(ISNUMBER('Chemical Properties'!E53),IF(0.005*LN('Chemical Properties'!E53)+0.0658&gt;1,1,IF(0.005*LN('Chemical Properties'!E53)+0.0658&lt;0,0,0.005*LN('Chemical Properties'!E53)+0.0658)),IF(0.005*LN('Chemical Properties'!E16)+0.0658&gt;1,1,IF(0.005*LN('Chemical Properties'!E16)+0.0658&lt;0,0,0.005*LN('Chemical Properties'!E16)+0.0658)))</f>
        <v>0</v>
      </c>
      <c r="E105" s="208">
        <f>IF(ISNUMBER('Chemical Properties'!E53),IF(0.009*LN('Chemical Properties'!E53)+0.1036&gt;1,1,IF(0.009*LN('Chemical Properties'!E53)+0.1036&lt;0,0,0.009*LN('Chemical Properties'!E53)+0.1036)),IF(0.009*LN('Chemical Properties'!E16)+0.1036&gt;1,1,IF(0.009*LN('Chemical Properties'!E16)+0.1036&lt;0,0,0.009*LN('Chemical Properties'!E16)+0.1036)))</f>
        <v>0</v>
      </c>
      <c r="F105" s="209">
        <f t="shared" si="27"/>
        <v>0</v>
      </c>
      <c r="G105" s="208">
        <f>IF(ISNUMBER('Chemical Properties'!E53),IF(0.0105*LN('Chemical Properties'!E53)+0.1416&gt;1,1,IF(0.0105*LN('Chemical Properties'!E53)+0.1416&lt;0,0,0.0105*LN('Chemical Properties'!E53)+0.1416)),IF(0.0105*LN('Chemical Properties'!E16)+0.1416&gt;1,1,IF(0.0105*LN('Chemical Properties'!E16)+0.1416&lt;0,0,0.0105*LN('Chemical Properties'!E16)+0.1416)))</f>
        <v>0</v>
      </c>
      <c r="H105" s="209">
        <f t="shared" si="28"/>
        <v>0</v>
      </c>
      <c r="I105" s="208">
        <f>IF(ISNUMBER('Chemical Properties'!E53),IF(0.0312*LN('Chemical Properties'!E53)+0.4163&gt;1,1,IF(0.0312*LN('Chemical Properties'!E53)+0.4163&lt;0,0,0.0312*LN('Chemical Properties'!E53)+0.4163)),IF(0.0312*LN('Chemical Properties'!E16)+0.4163&gt;1,1,IF(0.0312*LN('Chemical Properties'!E16)+0.4163&lt;0,0,0.0312*LN('Chemical Properties'!E16)+0.4163)))</f>
        <v>0</v>
      </c>
      <c r="J105" s="209">
        <f t="shared" si="29"/>
        <v>0</v>
      </c>
      <c r="K105" s="208">
        <f>IF(ISNUMBER('Chemical Properties'!E53),IF(0.0004*LN('Chemical Properties'!E53)+0.007&gt;1,1,IF(0.0004*LN('Chemical Properties'!E53)+0.007&lt;0,0,0.0004*LN('Chemical Properties'!E53)+0.007)),IF(0.0004*LN('Chemical Properties'!E16)+0.007&gt;1,1,IF(0.0004*LN('Chemical Properties'!E16)+0.007&lt;0,0,0.0004*LN('Chemical Properties'!E16)+0.007)))</f>
        <v>1.1042681774963113E-3</v>
      </c>
      <c r="L105" s="209">
        <f t="shared" si="30"/>
        <v>5.5213408874815612E-5</v>
      </c>
      <c r="Q105" s="210"/>
    </row>
    <row r="106" spans="1:17">
      <c r="A106" s="63" t="s">
        <v>72</v>
      </c>
      <c r="B106" s="208">
        <f>IF(ISNUMBER('Chemical Properties'!E54),IF(0.035*LN('Chemical Properties'!E54)+0.4079&gt;1,1,IF(0.035*LN('Chemical Properties'!E54)+0.4079&lt;0,0,0.035*LN('Chemical Properties'!E54)+0.4079)),IF(0.035*LN('Chemical Properties'!E17)+0.4079&gt;1,1,IF(0.035*LN('Chemical Properties'!E17)+0.4079&lt;0,0,0.035*LN('Chemical Properties'!E17)+0.4079)))</f>
        <v>0.33426930180128916</v>
      </c>
      <c r="C106" s="209">
        <f t="shared" si="26"/>
        <v>1.6713465090064474E-2</v>
      </c>
      <c r="D106" s="208">
        <f>IF(ISNUMBER('Chemical Properties'!E54),IF(0.005*LN('Chemical Properties'!E54)+0.0658&gt;1,1,IF(0.005*LN('Chemical Properties'!E54)+0.0658&lt;0,0,0.005*LN('Chemical Properties'!E54)+0.0658)),IF(0.005*LN('Chemical Properties'!E17)+0.0658&gt;1,1,IF(0.005*LN('Chemical Properties'!E17)+0.0658&lt;0,0,0.005*LN('Chemical Properties'!E17)+0.0658)))</f>
        <v>5.5281328828755597E-2</v>
      </c>
      <c r="E106" s="208">
        <f>IF(ISNUMBER('Chemical Properties'!E54),IF(0.009*LN('Chemical Properties'!E54)+0.1036&gt;1,1,IF(0.009*LN('Chemical Properties'!E54)+0.1036&lt;0,0,0.009*LN('Chemical Properties'!E54)+0.1036)),IF(0.009*LN('Chemical Properties'!E17)+0.1036&gt;1,1,IF(0.009*LN('Chemical Properties'!E17)+0.1036&lt;0,0,0.009*LN('Chemical Properties'!E17)+0.1036)))</f>
        <v>8.4666391891760076E-2</v>
      </c>
      <c r="F106" s="209">
        <f t="shared" si="27"/>
        <v>4.2333195945880074E-3</v>
      </c>
      <c r="G106" s="208">
        <f>IF(ISNUMBER('Chemical Properties'!E54),IF(0.0105*LN('Chemical Properties'!E54)+0.1416&gt;1,1,IF(0.0105*LN('Chemical Properties'!E54)+0.1416&lt;0,0,0.0105*LN('Chemical Properties'!E54)+0.1416)),IF(0.0105*LN('Chemical Properties'!E17)+0.1416&gt;1,1,IF(0.0105*LN('Chemical Properties'!E17)+0.1416&lt;0,0,0.0105*LN('Chemical Properties'!E17)+0.1416)))</f>
        <v>0.11951079054038675</v>
      </c>
      <c r="H106" s="209">
        <f t="shared" si="28"/>
        <v>5.9755395270193433E-3</v>
      </c>
      <c r="I106" s="208">
        <f>IF(ISNUMBER('Chemical Properties'!E54),IF(0.0312*LN('Chemical Properties'!E54)+0.4163&gt;1,1,IF(0.0312*LN('Chemical Properties'!E54)+0.4163&lt;0,0,0.0312*LN('Chemical Properties'!E54)+0.4163)),IF(0.0312*LN('Chemical Properties'!E17)+0.4163&gt;1,1,IF(0.0312*LN('Chemical Properties'!E17)+0.4163&lt;0,0,0.0312*LN('Chemical Properties'!E17)+0.4163)))</f>
        <v>0.35066349189143492</v>
      </c>
      <c r="J106" s="209">
        <f t="shared" si="29"/>
        <v>1.7533174594571762E-2</v>
      </c>
      <c r="K106" s="208">
        <f>IF(ISNUMBER('Chemical Properties'!E54),IF(0.0004*LN('Chemical Properties'!E54)+0.007&gt;1,1,IF(0.0004*LN('Chemical Properties'!E54)+0.007&lt;0,0,0.0004*LN('Chemical Properties'!E54)+0.007)),IF(0.0004*LN('Chemical Properties'!E17)+0.007&gt;1,1,IF(0.0004*LN('Chemical Properties'!E17)+0.007&lt;0,0,0.0004*LN('Chemical Properties'!E17)+0.007)))</f>
        <v>6.1585063063004479E-3</v>
      </c>
      <c r="L106" s="209">
        <f t="shared" si="30"/>
        <v>3.0792531531502264E-4</v>
      </c>
      <c r="Q106" s="210"/>
    </row>
    <row r="107" spans="1:17">
      <c r="A107" s="63" t="s">
        <v>73</v>
      </c>
      <c r="B107" s="208">
        <f>IF(ISNUMBER('Chemical Properties'!E55),IF(0.035*LN('Chemical Properties'!E55)+0.4079&gt;1,1,IF(0.035*LN('Chemical Properties'!E55)+0.4079&lt;0,0,0.035*LN('Chemical Properties'!E55)+0.4079)),IF(0.035*LN('Chemical Properties'!E18)+0.4079&gt;1,1,IF(0.035*LN('Chemical Properties'!E18)+0.4079&lt;0,0,0.035*LN('Chemical Properties'!E18)+0.4079)))</f>
        <v>0</v>
      </c>
      <c r="C107" s="209">
        <f t="shared" si="26"/>
        <v>0</v>
      </c>
      <c r="D107" s="208">
        <f>IF(ISNUMBER('Chemical Properties'!E55),IF(0.005*LN('Chemical Properties'!E55)+0.0658&gt;1,1,IF(0.005*LN('Chemical Properties'!E55)+0.0658&lt;0,0,0.005*LN('Chemical Properties'!E55)+0.0658)),IF(0.005*LN('Chemical Properties'!E18)+0.0658&gt;1,1,IF(0.005*LN('Chemical Properties'!E18)+0.0658&lt;0,0,0.005*LN('Chemical Properties'!E18)+0.0658)))</f>
        <v>0</v>
      </c>
      <c r="E107" s="208">
        <f>IF(ISNUMBER('Chemical Properties'!E55),IF(0.009*LN('Chemical Properties'!E55)+0.1036&gt;1,1,IF(0.009*LN('Chemical Properties'!E55)+0.1036&lt;0,0,0.009*LN('Chemical Properties'!E55)+0.1036)),IF(0.009*LN('Chemical Properties'!E18)+0.1036&gt;1,1,IF(0.009*LN('Chemical Properties'!E18)+0.1036&lt;0,0,0.009*LN('Chemical Properties'!E18)+0.1036)))</f>
        <v>0</v>
      </c>
      <c r="F107" s="209">
        <f t="shared" si="27"/>
        <v>0</v>
      </c>
      <c r="G107" s="208">
        <f>IF(ISNUMBER('Chemical Properties'!E55),IF(0.0105*LN('Chemical Properties'!E55)+0.1416&gt;1,1,IF(0.0105*LN('Chemical Properties'!E55)+0.1416&lt;0,0,0.0105*LN('Chemical Properties'!E55)+0.1416)),IF(0.0105*LN('Chemical Properties'!E18)+0.1416&gt;1,1,IF(0.0105*LN('Chemical Properties'!E18)+0.1416&lt;0,0,0.0105*LN('Chemical Properties'!E18)+0.1416)))</f>
        <v>1.6026137084401981E-3</v>
      </c>
      <c r="H107" s="209">
        <f t="shared" si="28"/>
        <v>8.0130685422009982E-5</v>
      </c>
      <c r="I107" s="208">
        <f>IF(ISNUMBER('Chemical Properties'!E55),IF(0.0312*LN('Chemical Properties'!E55)+0.4163&gt;1,1,IF(0.0312*LN('Chemical Properties'!E55)+0.4163&lt;0,0,0.0312*LN('Chemical Properties'!E55)+0.4163)),IF(0.0312*LN('Chemical Properties'!E18)+0.4163&gt;1,1,IF(0.0312*LN('Chemical Properties'!E18)+0.4163&lt;0,0,0.0312*LN('Chemical Properties'!E18)+0.4163)))</f>
        <v>3.0776644793656383E-4</v>
      </c>
      <c r="J107" s="209">
        <f t="shared" si="29"/>
        <v>1.5388322396828203E-5</v>
      </c>
      <c r="K107" s="208">
        <f>IF(ISNUMBER('Chemical Properties'!E55),IF(0.0004*LN('Chemical Properties'!E55)+0.007&gt;1,1,IF(0.0004*LN('Chemical Properties'!E55)+0.007&lt;0,0,0.0004*LN('Chemical Properties'!E55)+0.007)),IF(0.0004*LN('Chemical Properties'!E18)+0.007&gt;1,1,IF(0.0004*LN('Chemical Properties'!E18)+0.007&lt;0,0,0.0004*LN('Chemical Properties'!E18)+0.007)))</f>
        <v>1.6667662365120071E-3</v>
      </c>
      <c r="L107" s="209">
        <f t="shared" si="30"/>
        <v>8.3338311825600423E-5</v>
      </c>
      <c r="Q107" s="210"/>
    </row>
    <row r="108" spans="1:17">
      <c r="A108" s="64" t="s">
        <v>74</v>
      </c>
      <c r="B108" s="208">
        <f>IF(ISNUMBER('Chemical Properties'!E56),IF(0.035*LN('Chemical Properties'!E56)+0.4079&gt;1,1,IF(0.035*LN('Chemical Properties'!E56)+0.4079&lt;0,0,0.035*LN('Chemical Properties'!E56)+0.4079)),IF(0.035*LN('Chemical Properties'!E19)+0.4079&gt;1,1,IF(0.035*LN('Chemical Properties'!E19)+0.4079&lt;0,0,0.035*LN('Chemical Properties'!E19)+0.4079)))</f>
        <v>0.22907988247255201</v>
      </c>
      <c r="C108" s="209">
        <f t="shared" si="26"/>
        <v>1.145399412362761E-2</v>
      </c>
      <c r="D108" s="208">
        <f>IF(ISNUMBER('Chemical Properties'!E56),IF(0.005*LN('Chemical Properties'!E56)+0.0658&gt;1,1,IF(0.005*LN('Chemical Properties'!E56)+0.0658&lt;0,0,0.005*LN('Chemical Properties'!E56)+0.0658)),IF(0.005*LN('Chemical Properties'!E19)+0.0658&gt;1,1,IF(0.005*LN('Chemical Properties'!E19)+0.0658&lt;0,0,0.005*LN('Chemical Properties'!E19)+0.0658)))</f>
        <v>4.025426892465029E-2</v>
      </c>
      <c r="E108" s="208">
        <f>IF(ISNUMBER('Chemical Properties'!E56),IF(0.009*LN('Chemical Properties'!E56)+0.1036&gt;1,1,IF(0.009*LN('Chemical Properties'!E56)+0.1036&lt;0,0,0.009*LN('Chemical Properties'!E56)+0.1036)),IF(0.009*LN('Chemical Properties'!E19)+0.1036&gt;1,1,IF(0.009*LN('Chemical Properties'!E19)+0.1036&lt;0,0,0.009*LN('Chemical Properties'!E19)+0.1036)))</f>
        <v>5.7617684064370532E-2</v>
      </c>
      <c r="F108" s="209">
        <f t="shared" si="27"/>
        <v>2.880884203218529E-3</v>
      </c>
      <c r="G108" s="208">
        <f>IF(ISNUMBER('Chemical Properties'!E56),IF(0.0105*LN('Chemical Properties'!E56)+0.1416&gt;1,1,IF(0.0105*LN('Chemical Properties'!E56)+0.1416&lt;0,0,0.0105*LN('Chemical Properties'!E56)+0.1416)),IF(0.0105*LN('Chemical Properties'!E19)+0.1416&gt;1,1,IF(0.0105*LN('Chemical Properties'!E19)+0.1416&lt;0,0,0.0105*LN('Chemical Properties'!E19)+0.1416)))</f>
        <v>8.7953964741765617E-2</v>
      </c>
      <c r="H108" s="209">
        <f t="shared" si="28"/>
        <v>4.397698237088285E-3</v>
      </c>
      <c r="I108" s="208">
        <f>IF(ISNUMBER('Chemical Properties'!E56),IF(0.0312*LN('Chemical Properties'!E56)+0.4163&gt;1,1,IF(0.0312*LN('Chemical Properties'!E56)+0.4163&lt;0,0,0.0312*LN('Chemical Properties'!E56)+0.4163)),IF(0.0312*LN('Chemical Properties'!E19)+0.4163&gt;1,1,IF(0.0312*LN('Chemical Properties'!E19)+0.4163&lt;0,0,0.0312*LN('Chemical Properties'!E19)+0.4163)))</f>
        <v>0.25689463808981783</v>
      </c>
      <c r="J108" s="209">
        <f t="shared" si="29"/>
        <v>1.2844731904490902E-2</v>
      </c>
      <c r="K108" s="208">
        <f>IF(ISNUMBER('Chemical Properties'!E56),IF(0.0004*LN('Chemical Properties'!E56)+0.007&gt;1,1,IF(0.0004*LN('Chemical Properties'!E56)+0.007&lt;0,0,0.0004*LN('Chemical Properties'!E56)+0.007)),IF(0.0004*LN('Chemical Properties'!E19)+0.007&gt;1,1,IF(0.0004*LN('Chemical Properties'!E19)+0.007&lt;0,0,0.0004*LN('Chemical Properties'!E19)+0.007)))</f>
        <v>4.9563415139720233E-3</v>
      </c>
      <c r="L108" s="209">
        <f t="shared" si="30"/>
        <v>2.4781707569860136E-4</v>
      </c>
      <c r="Q108" s="210"/>
    </row>
    <row r="109" spans="1:17">
      <c r="A109" s="63" t="s">
        <v>75</v>
      </c>
      <c r="B109" s="208">
        <f>IF(ISNUMBER('Chemical Properties'!E57),IF(0.035*LN('Chemical Properties'!E57)+0.4079&gt;1,1,IF(0.035*LN('Chemical Properties'!E57)+0.4079&lt;0,0,0.035*LN('Chemical Properties'!E57)+0.4079)),IF(0.035*LN('Chemical Properties'!E20)+0.4079&gt;1,1,IF(0.035*LN('Chemical Properties'!E20)+0.4079&lt;0,0,0.035*LN('Chemical Properties'!E20)+0.4079)))</f>
        <v>0.14552892797209693</v>
      </c>
      <c r="C109" s="209">
        <f t="shared" si="26"/>
        <v>7.2764463986048529E-3</v>
      </c>
      <c r="D109" s="208">
        <f>IF(ISNUMBER('Chemical Properties'!E57),IF(0.005*LN('Chemical Properties'!E57)+0.0658&gt;1,1,IF(0.005*LN('Chemical Properties'!E57)+0.0658&lt;0,0,0.005*LN('Chemical Properties'!E57)+0.0658)),IF(0.005*LN('Chemical Properties'!E20)+0.0658&gt;1,1,IF(0.005*LN('Chemical Properties'!E20)+0.0658&lt;0,0,0.005*LN('Chemical Properties'!E20)+0.0658)))</f>
        <v>2.8318418281728132E-2</v>
      </c>
      <c r="E109" s="208">
        <f>IF(ISNUMBER('Chemical Properties'!E57),IF(0.009*LN('Chemical Properties'!E57)+0.1036&gt;1,1,IF(0.009*LN('Chemical Properties'!E57)+0.1036&lt;0,0,0.009*LN('Chemical Properties'!E57)+0.1036)),IF(0.009*LN('Chemical Properties'!E20)+0.1036&gt;1,1,IF(0.009*LN('Chemical Properties'!E20)+0.1036&lt;0,0,0.009*LN('Chemical Properties'!E20)+0.1036)))</f>
        <v>3.6133152907110652E-2</v>
      </c>
      <c r="F109" s="209">
        <f t="shared" si="27"/>
        <v>1.8066576453555341E-3</v>
      </c>
      <c r="G109" s="208">
        <f>IF(ISNUMBER('Chemical Properties'!E57),IF(0.0105*LN('Chemical Properties'!E57)+0.1416&gt;1,1,IF(0.0105*LN('Chemical Properties'!E57)+0.1416&lt;0,0,0.0105*LN('Chemical Properties'!E57)+0.1416)),IF(0.0105*LN('Chemical Properties'!E20)+0.1416&gt;1,1,IF(0.0105*LN('Chemical Properties'!E20)+0.1416&lt;0,0,0.0105*LN('Chemical Properties'!E20)+0.1416)))</f>
        <v>6.288867839162908E-2</v>
      </c>
      <c r="H109" s="209">
        <f t="shared" si="28"/>
        <v>3.1444339195814569E-3</v>
      </c>
      <c r="I109" s="208">
        <f>IF(ISNUMBER('Chemical Properties'!E57),IF(0.0312*LN('Chemical Properties'!E57)+0.4163&gt;1,1,IF(0.0312*LN('Chemical Properties'!E57)+0.4163&lt;0,0,0.0312*LN('Chemical Properties'!E57)+0.4163)),IF(0.0312*LN('Chemical Properties'!E20)+0.4163&gt;1,1,IF(0.0312*LN('Chemical Properties'!E20)+0.4163&lt;0,0,0.0312*LN('Chemical Properties'!E20)+0.4163)))</f>
        <v>0.18241493007798359</v>
      </c>
      <c r="J109" s="209">
        <f t="shared" si="29"/>
        <v>9.120746503899187E-3</v>
      </c>
      <c r="K109" s="208">
        <f>IF(ISNUMBER('Chemical Properties'!E57),IF(0.0004*LN('Chemical Properties'!E57)+0.007&gt;1,1,IF(0.0004*LN('Chemical Properties'!E57)+0.007&lt;0,0,0.0004*LN('Chemical Properties'!E57)+0.007)),IF(0.0004*LN('Chemical Properties'!E20)+0.007&gt;1,1,IF(0.0004*LN('Chemical Properties'!E20)+0.007&lt;0,0,0.0004*LN('Chemical Properties'!E20)+0.007)))</f>
        <v>4.0014734625382509E-3</v>
      </c>
      <c r="L109" s="209">
        <f t="shared" si="30"/>
        <v>2.0007367312691274E-4</v>
      </c>
      <c r="Q109" s="210"/>
    </row>
    <row r="110" spans="1:17">
      <c r="A110" s="64" t="s">
        <v>78</v>
      </c>
      <c r="B110" s="208">
        <f>IF(ISNUMBER('Chemical Properties'!E58),IF(0.035*LN('Chemical Properties'!E58)+0.4079&gt;1,1,IF(0.035*LN('Chemical Properties'!E58)+0.4079&lt;0,0,0.035*LN('Chemical Properties'!E58)+0.4079)),IF(0.035*LN('Chemical Properties'!E21)+0.4079&gt;1,1,IF(0.035*LN('Chemical Properties'!E21)+0.4079&lt;0,0,0.035*LN('Chemical Properties'!E21)+0.4079)))</f>
        <v>0.12157476658217409</v>
      </c>
      <c r="C110" s="209">
        <f t="shared" si="26"/>
        <v>6.0787383291087101E-3</v>
      </c>
      <c r="D110" s="208">
        <f>IF(ISNUMBER('Chemical Properties'!E58),IF(0.005*LN('Chemical Properties'!E58)+0.0658&gt;1,1,IF(0.005*LN('Chemical Properties'!E58)+0.0658&lt;0,0,0.005*LN('Chemical Properties'!E58)+0.0658)),IF(0.005*LN('Chemical Properties'!E21)+0.0658&gt;1,1,IF(0.005*LN('Chemical Properties'!E21)+0.0658&lt;0,0,0.005*LN('Chemical Properties'!E21)+0.0658)))</f>
        <v>2.4896395226024874E-2</v>
      </c>
      <c r="E110" s="208">
        <f>IF(ISNUMBER('Chemical Properties'!E58),IF(0.009*LN('Chemical Properties'!E58)+0.1036&gt;1,1,IF(0.009*LN('Chemical Properties'!E58)+0.1036&lt;0,0,0.009*LN('Chemical Properties'!E58)+0.1036)),IF(0.009*LN('Chemical Properties'!E21)+0.1036&gt;1,1,IF(0.009*LN('Chemical Properties'!E21)+0.1036&lt;0,0,0.009*LN('Chemical Properties'!E21)+0.1036)))</f>
        <v>2.9973511406844788E-2</v>
      </c>
      <c r="F110" s="209">
        <f t="shared" si="27"/>
        <v>1.4986755703422408E-3</v>
      </c>
      <c r="G110" s="208">
        <f>IF(ISNUMBER('Chemical Properties'!E58),IF(0.0105*LN('Chemical Properties'!E58)+0.1416&gt;1,1,IF(0.0105*LN('Chemical Properties'!E58)+0.1416&lt;0,0,0.0105*LN('Chemical Properties'!E58)+0.1416)),IF(0.0105*LN('Chemical Properties'!E21)+0.1416&gt;1,1,IF(0.0105*LN('Chemical Properties'!E21)+0.1416&lt;0,0,0.0105*LN('Chemical Properties'!E21)+0.1416)))</f>
        <v>5.5702429974652246E-2</v>
      </c>
      <c r="H110" s="209">
        <f t="shared" si="28"/>
        <v>2.7851214987326149E-3</v>
      </c>
      <c r="I110" s="208">
        <f>IF(ISNUMBER('Chemical Properties'!E58),IF(0.0312*LN('Chemical Properties'!E58)+0.4163&gt;1,1,IF(0.0312*LN('Chemical Properties'!E58)+0.4163&lt;0,0,0.0312*LN('Chemical Properties'!E58)+0.4163)),IF(0.0312*LN('Chemical Properties'!E21)+0.4163&gt;1,1,IF(0.0312*LN('Chemical Properties'!E21)+0.4163&lt;0,0,0.0312*LN('Chemical Properties'!E21)+0.4163)))</f>
        <v>0.16106150621039528</v>
      </c>
      <c r="J110" s="209">
        <f t="shared" si="29"/>
        <v>8.0530753105197712E-3</v>
      </c>
      <c r="K110" s="208">
        <f>IF(ISNUMBER('Chemical Properties'!E58),IF(0.0004*LN('Chemical Properties'!E58)+0.007&gt;1,1,IF(0.0004*LN('Chemical Properties'!E58)+0.007&lt;0,0,0.0004*LN('Chemical Properties'!E58)+0.007)),IF(0.0004*LN('Chemical Properties'!E21)+0.007&gt;1,1,IF(0.0004*LN('Chemical Properties'!E21)+0.007&lt;0,0,0.0004*LN('Chemical Properties'!E21)+0.007)))</f>
        <v>3.7277116180819904E-3</v>
      </c>
      <c r="L110" s="209">
        <f t="shared" si="30"/>
        <v>1.8638558090409968E-4</v>
      </c>
      <c r="Q110" s="210"/>
    </row>
    <row r="111" spans="1:17">
      <c r="A111" s="65" t="s">
        <v>14</v>
      </c>
      <c r="B111" s="208">
        <f>IF(ISNUMBER('Chemical Properties'!E59),IF(0.035*LN('Chemical Properties'!E59)+0.4079&gt;1,1,IF(0.035*LN('Chemical Properties'!E59)+0.4079&lt;0,0,0.035*LN('Chemical Properties'!E59)+0.4079)),IF(0.035*LN('Chemical Properties'!E22)+0.4079&gt;1,1,IF(0.035*LN('Chemical Properties'!E22)+0.4079&lt;0,0,0.035*LN('Chemical Properties'!E22)+0.4079)))</f>
        <v>0.30248484205806436</v>
      </c>
      <c r="C111" s="209">
        <f t="shared" si="26"/>
        <v>1.5124242102903232E-2</v>
      </c>
      <c r="D111" s="208">
        <f>IF(ISNUMBER('Chemical Properties'!E59),IF(0.005*LN('Chemical Properties'!E59)+0.0658&gt;1,1,IF(0.005*LN('Chemical Properties'!E59)+0.0658&lt;0,0,0.005*LN('Chemical Properties'!E59)+0.0658)),IF(0.005*LN('Chemical Properties'!E22)+0.0658&gt;1,1,IF(0.005*LN('Chemical Properties'!E22)+0.0658&lt;0,0,0.005*LN('Chemical Properties'!E22)+0.0658)))</f>
        <v>5.0740691722580625E-2</v>
      </c>
      <c r="E111" s="208">
        <f>IF(ISNUMBER('Chemical Properties'!E59),IF(0.009*LN('Chemical Properties'!E59)+0.1036&gt;1,1,IF(0.009*LN('Chemical Properties'!E59)+0.1036&lt;0,0,0.009*LN('Chemical Properties'!E59)+0.1036)),IF(0.009*LN('Chemical Properties'!E22)+0.1036&gt;1,1,IF(0.009*LN('Chemical Properties'!E22)+0.1036&lt;0,0,0.009*LN('Chemical Properties'!E22)+0.1036)))</f>
        <v>7.6493245100645132E-2</v>
      </c>
      <c r="F111" s="209">
        <f t="shared" si="27"/>
        <v>3.82466225503226E-3</v>
      </c>
      <c r="G111" s="208">
        <f>IF(ISNUMBER('Chemical Properties'!E59),IF(0.0105*LN('Chemical Properties'!E59)+0.1416&gt;1,1,IF(0.0105*LN('Chemical Properties'!E59)+0.1416&lt;0,0,0.0105*LN('Chemical Properties'!E59)+0.1416)),IF(0.0105*LN('Chemical Properties'!E22)+0.1416&gt;1,1,IF(0.0105*LN('Chemical Properties'!E22)+0.1416&lt;0,0,0.0105*LN('Chemical Properties'!E22)+0.1416)))</f>
        <v>0.10997545261741931</v>
      </c>
      <c r="H111" s="209">
        <f t="shared" si="28"/>
        <v>5.4987726308709708E-3</v>
      </c>
      <c r="I111" s="208">
        <f>IF(ISNUMBER('Chemical Properties'!E59),IF(0.0312*LN('Chemical Properties'!E59)+0.4163&gt;1,1,IF(0.0312*LN('Chemical Properties'!E59)+0.4163&lt;0,0,0.0312*LN('Chemical Properties'!E59)+0.4163)),IF(0.0312*LN('Chemical Properties'!E22)+0.4163&gt;1,1,IF(0.0312*LN('Chemical Properties'!E22)+0.4163&lt;0,0,0.0312*LN('Chemical Properties'!E22)+0.4163)))</f>
        <v>0.32232991634890312</v>
      </c>
      <c r="J111" s="209">
        <f t="shared" si="29"/>
        <v>1.6116495817445172E-2</v>
      </c>
      <c r="K111" s="208">
        <f>IF(ISNUMBER('Chemical Properties'!E59),IF(0.0004*LN('Chemical Properties'!E59)+0.007&gt;1,1,IF(0.0004*LN('Chemical Properties'!E59)+0.007&lt;0,0,0.0004*LN('Chemical Properties'!E59)+0.007)),IF(0.0004*LN('Chemical Properties'!E22)+0.007&gt;1,1,IF(0.0004*LN('Chemical Properties'!E22)+0.007&lt;0,0,0.0004*LN('Chemical Properties'!E22)+0.007)))</f>
        <v>5.7952553378064504E-3</v>
      </c>
      <c r="L111" s="209">
        <f t="shared" si="30"/>
        <v>2.8976276689032278E-4</v>
      </c>
      <c r="Q111" s="210"/>
    </row>
    <row r="112" spans="1:17">
      <c r="A112" s="65" t="s">
        <v>79</v>
      </c>
      <c r="B112" s="208">
        <f>IF(ISNUMBER('Chemical Properties'!E60),IF(0.035*LN('Chemical Properties'!E60)+0.4079&gt;1,1,IF(0.035*LN('Chemical Properties'!E60)+0.4079&lt;0,0,0.035*LN('Chemical Properties'!E60)+0.4079)),IF(0.035*LN('Chemical Properties'!E23)+0.4079&gt;1,1,IF(0.035*LN('Chemical Properties'!E23)+0.4079&lt;0,0,0.035*LN('Chemical Properties'!E23)+0.4079)))</f>
        <v>0.17790509351736764</v>
      </c>
      <c r="C112" s="209">
        <f t="shared" si="26"/>
        <v>8.895254675868389E-3</v>
      </c>
      <c r="D112" s="208">
        <f>IF(ISNUMBER('Chemical Properties'!E60),IF(0.005*LN('Chemical Properties'!E60)+0.0658&gt;1,1,IF(0.005*LN('Chemical Properties'!E60)+0.0658&lt;0,0,0.005*LN('Chemical Properties'!E60)+0.0658)),IF(0.005*LN('Chemical Properties'!E23)+0.0658&gt;1,1,IF(0.005*LN('Chemical Properties'!E23)+0.0658&lt;0,0,0.005*LN('Chemical Properties'!E23)+0.0658)))</f>
        <v>3.2943584788195375E-2</v>
      </c>
      <c r="E112" s="208">
        <f>IF(ISNUMBER('Chemical Properties'!E60),IF(0.009*LN('Chemical Properties'!E60)+0.1036&gt;1,1,IF(0.009*LN('Chemical Properties'!E60)+0.1036&lt;0,0,0.009*LN('Chemical Properties'!E60)+0.1036)),IF(0.009*LN('Chemical Properties'!E23)+0.1036&gt;1,1,IF(0.009*LN('Chemical Properties'!E23)+0.1036&lt;0,0,0.009*LN('Chemical Properties'!E23)+0.1036)))</f>
        <v>4.4458452618751684E-2</v>
      </c>
      <c r="F112" s="209">
        <f t="shared" si="27"/>
        <v>2.222922630937586E-3</v>
      </c>
      <c r="G112" s="208">
        <f>IF(ISNUMBER('Chemical Properties'!E60),IF(0.0105*LN('Chemical Properties'!E60)+0.1416&gt;1,1,IF(0.0105*LN('Chemical Properties'!E60)+0.1416&lt;0,0,0.0105*LN('Chemical Properties'!E60)+0.1416)),IF(0.0105*LN('Chemical Properties'!E23)+0.1416&gt;1,1,IF(0.0105*LN('Chemical Properties'!E23)+0.1416&lt;0,0,0.0105*LN('Chemical Properties'!E23)+0.1416)))</f>
        <v>7.2601528055210293E-2</v>
      </c>
      <c r="H112" s="209">
        <f t="shared" si="28"/>
        <v>3.630076402760518E-3</v>
      </c>
      <c r="I112" s="208">
        <f>IF(ISNUMBER('Chemical Properties'!E60),IF(0.0312*LN('Chemical Properties'!E60)+0.4163&gt;1,1,IF(0.0312*LN('Chemical Properties'!E60)+0.4163&lt;0,0,0.0312*LN('Chemical Properties'!E60)+0.4163)),IF(0.0312*LN('Chemical Properties'!E23)+0.4163&gt;1,1,IF(0.0312*LN('Chemical Properties'!E23)+0.4163&lt;0,0,0.0312*LN('Chemical Properties'!E23)+0.4163)))</f>
        <v>0.21127596907833918</v>
      </c>
      <c r="J112" s="209">
        <f t="shared" si="29"/>
        <v>1.0563798453916967E-2</v>
      </c>
      <c r="K112" s="208">
        <f>IF(ISNUMBER('Chemical Properties'!E60),IF(0.0004*LN('Chemical Properties'!E60)+0.007&gt;1,1,IF(0.0004*LN('Chemical Properties'!E60)+0.007&lt;0,0,0.0004*LN('Chemical Properties'!E60)+0.007)),IF(0.0004*LN('Chemical Properties'!E23)+0.007&gt;1,1,IF(0.0004*LN('Chemical Properties'!E23)+0.007&lt;0,0,0.0004*LN('Chemical Properties'!E23)+0.007)))</f>
        <v>4.3714867830556298E-3</v>
      </c>
      <c r="L112" s="209">
        <f t="shared" si="30"/>
        <v>2.1857433915278168E-4</v>
      </c>
      <c r="Q112" s="210"/>
    </row>
    <row r="113" spans="1:20">
      <c r="A113" s="65" t="s">
        <v>15</v>
      </c>
      <c r="B113" s="208">
        <f>IF(ISNUMBER('Chemical Properties'!E61),IF(0.035*LN('Chemical Properties'!E61)+0.4079&gt;1,1,IF(0.035*LN('Chemical Properties'!E61)+0.4079&lt;0,0,0.035*LN('Chemical Properties'!E61)+0.4079)),IF(0.035*LN('Chemical Properties'!E24)+0.4079&gt;1,1,IF(0.035*LN('Chemical Properties'!E24)+0.4079&lt;0,0,0.035*LN('Chemical Properties'!E24)+0.4079)))</f>
        <v>0</v>
      </c>
      <c r="C113" s="209">
        <f t="shared" si="26"/>
        <v>0</v>
      </c>
      <c r="D113" s="208">
        <f>IF(ISNUMBER('Chemical Properties'!E61),IF(0.005*LN('Chemical Properties'!E61)+0.0658&gt;1,1,IF(0.005*LN('Chemical Properties'!E61)+0.0658&lt;0,0,0.005*LN('Chemical Properties'!E61)+0.0658)),IF(0.005*LN('Chemical Properties'!E24)+0.0658&gt;1,1,IF(0.005*LN('Chemical Properties'!E24)+0.0658&lt;0,0,0.005*LN('Chemical Properties'!E24)+0.0658)))</f>
        <v>0</v>
      </c>
      <c r="E113" s="208">
        <f>IF(ISNUMBER('Chemical Properties'!E61),IF(0.009*LN('Chemical Properties'!E61)+0.1036&gt;1,1,IF(0.009*LN('Chemical Properties'!E61)+0.1036&lt;0,0,0.009*LN('Chemical Properties'!E61)+0.1036)),IF(0.009*LN('Chemical Properties'!E24)+0.1036&gt;1,1,IF(0.009*LN('Chemical Properties'!E24)+0.1036&lt;0,0,0.009*LN('Chemical Properties'!E24)+0.1036)))</f>
        <v>0</v>
      </c>
      <c r="F113" s="209">
        <f t="shared" si="27"/>
        <v>0</v>
      </c>
      <c r="G113" s="208">
        <f>IF(ISNUMBER('Chemical Properties'!E61),IF(0.0105*LN('Chemical Properties'!E61)+0.1416&gt;1,1,IF(0.0105*LN('Chemical Properties'!E61)+0.1416&lt;0,0,0.0105*LN('Chemical Properties'!E61)+0.1416)),IF(0.0105*LN('Chemical Properties'!E24)+0.1416&gt;1,1,IF(0.0105*LN('Chemical Properties'!E24)+0.1416&lt;0,0,0.0105*LN('Chemical Properties'!E24)+0.1416)))</f>
        <v>0</v>
      </c>
      <c r="H113" s="209">
        <f t="shared" si="28"/>
        <v>0</v>
      </c>
      <c r="I113" s="208">
        <f>IF(ISNUMBER('Chemical Properties'!E61),IF(0.0312*LN('Chemical Properties'!E61)+0.4163&gt;1,1,IF(0.0312*LN('Chemical Properties'!E61)+0.4163&lt;0,0,0.0312*LN('Chemical Properties'!E61)+0.4163)),IF(0.0312*LN('Chemical Properties'!E24)+0.4163&gt;1,1,IF(0.0312*LN('Chemical Properties'!E24)+0.4163&lt;0,0,0.0312*LN('Chemical Properties'!E24)+0.4163)))</f>
        <v>0</v>
      </c>
      <c r="J113" s="209">
        <f t="shared" si="29"/>
        <v>0</v>
      </c>
      <c r="K113" s="208">
        <f>IF(ISNUMBER('Chemical Properties'!E61),IF(0.0004*LN('Chemical Properties'!E61)+0.007&gt;1,1,IF(0.0004*LN('Chemical Properties'!E61)+0.007&lt;0,0,0.0004*LN('Chemical Properties'!E61)+0.007)),IF(0.0004*LN('Chemical Properties'!E24)+0.007&gt;1,1,IF(0.0004*LN('Chemical Properties'!E24)+0.007&lt;0,0,0.0004*LN('Chemical Properties'!E24)+0.007)))</f>
        <v>0</v>
      </c>
      <c r="L113" s="209">
        <f t="shared" si="30"/>
        <v>0</v>
      </c>
      <c r="Q113" s="210"/>
    </row>
    <row r="114" spans="1:20">
      <c r="A114" s="65" t="s">
        <v>80</v>
      </c>
      <c r="B114" s="208">
        <f>IF(ISNUMBER('Chemical Properties'!E62),IF(0.035*LN('Chemical Properties'!E62)+0.4079&gt;1,1,IF(0.035*LN('Chemical Properties'!E62)+0.4079&lt;0,0,0.035*LN('Chemical Properties'!E62)+0.4079)),IF(0.035*LN('Chemical Properties'!E25)+0.4079&gt;1,1,IF(0.035*LN('Chemical Properties'!E25)+0.4079&lt;0,0,0.035*LN('Chemical Properties'!E25)+0.4079)))</f>
        <v>0.44669969168324469</v>
      </c>
      <c r="C114" s="209">
        <f t="shared" si="26"/>
        <v>2.2334984584162255E-2</v>
      </c>
      <c r="D114" s="208">
        <f>IF(ISNUMBER('Chemical Properties'!E62),IF(0.005*LN('Chemical Properties'!E62)+0.0658&gt;1,1,IF(0.005*LN('Chemical Properties'!E62)+0.0658&lt;0,0,0.005*LN('Chemical Properties'!E62)+0.0658)),IF(0.005*LN('Chemical Properties'!E25)+0.0658&gt;1,1,IF(0.005*LN('Chemical Properties'!E25)+0.0658&lt;0,0,0.005*LN('Chemical Properties'!E25)+0.0658)))</f>
        <v>7.1342813097606386E-2</v>
      </c>
      <c r="E114" s="208">
        <f>IF(ISNUMBER('Chemical Properties'!E62),IF(0.009*LN('Chemical Properties'!E62)+0.1036&gt;1,1,IF(0.009*LN('Chemical Properties'!E62)+0.1036&lt;0,0,0.009*LN('Chemical Properties'!E62)+0.1036)),IF(0.009*LN('Chemical Properties'!E25)+0.1036&gt;1,1,IF(0.009*LN('Chemical Properties'!E25)+0.1036&lt;0,0,0.009*LN('Chemical Properties'!E25)+0.1036)))</f>
        <v>0.1135770635756915</v>
      </c>
      <c r="F114" s="209">
        <f t="shared" si="27"/>
        <v>5.6788531787845802E-3</v>
      </c>
      <c r="G114" s="208">
        <f>IF(ISNUMBER('Chemical Properties'!E62),IF(0.0105*LN('Chemical Properties'!E62)+0.1416&gt;1,1,IF(0.0105*LN('Chemical Properties'!E62)+0.1416&lt;0,0,0.0105*LN('Chemical Properties'!E62)+0.1416)),IF(0.0105*LN('Chemical Properties'!E25)+0.1416&gt;1,1,IF(0.0105*LN('Chemical Properties'!E25)+0.1416&lt;0,0,0.0105*LN('Chemical Properties'!E25)+0.1416)))</f>
        <v>0.15323990750497343</v>
      </c>
      <c r="H114" s="209">
        <f t="shared" si="28"/>
        <v>7.6619953752486781E-3</v>
      </c>
      <c r="I114" s="208">
        <f>IF(ISNUMBER('Chemical Properties'!E62),IF(0.0312*LN('Chemical Properties'!E62)+0.4163&gt;1,1,IF(0.0312*LN('Chemical Properties'!E62)+0.4163&lt;0,0,0.0312*LN('Chemical Properties'!E62)+0.4163)),IF(0.0312*LN('Chemical Properties'!E25)+0.4163&gt;1,1,IF(0.0312*LN('Chemical Properties'!E25)+0.4163&lt;0,0,0.0312*LN('Chemical Properties'!E25)+0.4163)))</f>
        <v>0.45088715372906385</v>
      </c>
      <c r="J114" s="209">
        <f t="shared" si="29"/>
        <v>2.2544357686453211E-2</v>
      </c>
      <c r="K114" s="208">
        <f>IF(ISNUMBER('Chemical Properties'!E62),IF(0.0004*LN('Chemical Properties'!E62)+0.007&gt;1,1,IF(0.0004*LN('Chemical Properties'!E62)+0.007&lt;0,0,0.0004*LN('Chemical Properties'!E62)+0.007)),IF(0.0004*LN('Chemical Properties'!E25)+0.007&gt;1,1,IF(0.0004*LN('Chemical Properties'!E25)+0.007&lt;0,0,0.0004*LN('Chemical Properties'!E25)+0.007)))</f>
        <v>7.4434250478085115E-3</v>
      </c>
      <c r="L114" s="209">
        <f t="shared" si="30"/>
        <v>3.7217125239042591E-4</v>
      </c>
      <c r="Q114" s="210"/>
    </row>
    <row r="115" spans="1:20">
      <c r="A115" s="65" t="s">
        <v>59</v>
      </c>
      <c r="B115" s="208" t="e">
        <f>IF(ISNUMBER('Chemical Properties'!E63),IF(0.035*LN('Chemical Properties'!E63)+0.4079&gt;1,1,IF(0.035*LN('Chemical Properties'!E63)+0.4079&lt;0,0,0.035*LN('Chemical Properties'!E63)+0.4079)),IF(0.035*LN('Chemical Properties'!E26)+0.4079&gt;1,1,IF(0.035*LN('Chemical Properties'!E26)+0.4079&lt;0,0,0.035*LN('Chemical Properties'!E26)+0.4079)))</f>
        <v>#NUM!</v>
      </c>
      <c r="C115" s="209" t="e">
        <f t="shared" si="26"/>
        <v>#NUM!</v>
      </c>
      <c r="D115" s="208" t="e">
        <f>IF(ISNUMBER('Chemical Properties'!E63),IF(0.005*LN('Chemical Properties'!E63)+0.0658&gt;1,1,IF(0.005*LN('Chemical Properties'!E63)+0.0658&lt;0,0,0.005*LN('Chemical Properties'!E63)+0.0658)),IF(0.005*LN('Chemical Properties'!E26)+0.0658&gt;1,1,IF(0.005*LN('Chemical Properties'!E26)+0.0658&lt;0,0,0.005*LN('Chemical Properties'!E26)+0.0658)))</f>
        <v>#NUM!</v>
      </c>
      <c r="E115" s="208" t="e">
        <f>IF(ISNUMBER('Chemical Properties'!E63),IF(0.009*LN('Chemical Properties'!E63)+0.1036&gt;1,1,IF(0.009*LN('Chemical Properties'!E63)+0.1036&lt;0,0,0.009*LN('Chemical Properties'!E63)+0.1036)),IF(0.009*LN('Chemical Properties'!E26)+0.1036&gt;1,1,IF(0.009*LN('Chemical Properties'!E26)+0.1036&lt;0,0,0.009*LN('Chemical Properties'!E26)+0.1036)))</f>
        <v>#NUM!</v>
      </c>
      <c r="F115" s="209" t="e">
        <f t="shared" si="27"/>
        <v>#NUM!</v>
      </c>
      <c r="G115" s="208" t="e">
        <f>IF(ISNUMBER('Chemical Properties'!E63),IF(0.0105*LN('Chemical Properties'!E63)+0.1416&gt;1,1,IF(0.0105*LN('Chemical Properties'!E63)+0.1416&lt;0,0,0.0105*LN('Chemical Properties'!E63)+0.1416)),IF(0.0105*LN('Chemical Properties'!E26)+0.1416&gt;1,1,IF(0.0105*LN('Chemical Properties'!E26)+0.1416&lt;0,0,0.0105*LN('Chemical Properties'!E26)+0.1416)))</f>
        <v>#NUM!</v>
      </c>
      <c r="H115" s="209" t="e">
        <f t="shared" si="28"/>
        <v>#NUM!</v>
      </c>
      <c r="I115" s="208" t="e">
        <f>IF(ISNUMBER('Chemical Properties'!E63),IF(0.0312*LN('Chemical Properties'!E63)+0.4163&gt;1,1,IF(0.0312*LN('Chemical Properties'!E63)+0.4163&lt;0,0,0.0312*LN('Chemical Properties'!E63)+0.4163)),IF(0.0312*LN('Chemical Properties'!E26)+0.4163&gt;1,1,IF(0.0312*LN('Chemical Properties'!E26)+0.4163&lt;0,0,0.0312*LN('Chemical Properties'!E26)+0.4163)))</f>
        <v>#NUM!</v>
      </c>
      <c r="J115" s="209" t="e">
        <f t="shared" si="29"/>
        <v>#NUM!</v>
      </c>
      <c r="K115" s="208" t="e">
        <f>IF(ISNUMBER('Chemical Properties'!E63),IF(0.0004*LN('Chemical Properties'!E63)+0.007&gt;1,1,IF(0.0004*LN('Chemical Properties'!E63)+0.007&lt;0,0,0.0004*LN('Chemical Properties'!E63)+0.007)),IF(0.0004*LN('Chemical Properties'!E26)+0.007&gt;1,1,IF(0.0004*LN('Chemical Properties'!E26)+0.007&lt;0,0,0.0004*LN('Chemical Properties'!E26)+0.007)))</f>
        <v>#NUM!</v>
      </c>
      <c r="L115" s="209" t="e">
        <f t="shared" si="30"/>
        <v>#NUM!</v>
      </c>
      <c r="Q115" s="210"/>
    </row>
    <row r="116" spans="1:20">
      <c r="A116" s="81" t="s">
        <v>60</v>
      </c>
      <c r="B116" s="208" t="e">
        <f>IF(ISNUMBER('Chemical Properties'!E64),IF(0.035*LN('Chemical Properties'!E64)+0.4079&gt;1,1,IF(0.035*LN('Chemical Properties'!E64)+0.4079&lt;0,0,0.035*LN('Chemical Properties'!E64)+0.4079)),IF(0.035*LN('Chemical Properties'!E27)+0.4079&gt;1,1,IF(0.035*LN('Chemical Properties'!E27)+0.4079&lt;0,0,0.035*LN('Chemical Properties'!E27)+0.4079)))</f>
        <v>#NUM!</v>
      </c>
      <c r="C116" s="209" t="e">
        <f t="shared" si="26"/>
        <v>#NUM!</v>
      </c>
      <c r="D116" s="208" t="e">
        <f>IF(ISNUMBER('Chemical Properties'!E64),IF(0.005*LN('Chemical Properties'!E64)+0.0658&gt;1,1,IF(0.005*LN('Chemical Properties'!E64)+0.0658&lt;0,0,0.005*LN('Chemical Properties'!E64)+0.0658)),IF(0.005*LN('Chemical Properties'!E27)+0.0658&gt;1,1,IF(0.005*LN('Chemical Properties'!E27)+0.0658&lt;0,0,0.005*LN('Chemical Properties'!E27)+0.0658)))</f>
        <v>#NUM!</v>
      </c>
      <c r="E116" s="208" t="e">
        <f>IF(ISNUMBER('Chemical Properties'!E64),IF(0.009*LN('Chemical Properties'!E64)+0.1036&gt;1,1,IF(0.009*LN('Chemical Properties'!E64)+0.1036&lt;0,0,0.009*LN('Chemical Properties'!E64)+0.1036)),IF(0.009*LN('Chemical Properties'!E27)+0.1036&gt;1,1,IF(0.009*LN('Chemical Properties'!E27)+0.1036&lt;0,0,0.009*LN('Chemical Properties'!E27)+0.1036)))</f>
        <v>#NUM!</v>
      </c>
      <c r="F116" s="209" t="e">
        <f t="shared" si="27"/>
        <v>#NUM!</v>
      </c>
      <c r="G116" s="208" t="e">
        <f>IF(ISNUMBER('Chemical Properties'!E64),IF(0.0105*LN('Chemical Properties'!E64)+0.1416&gt;1,1,IF(0.0105*LN('Chemical Properties'!E64)+0.1416&lt;0,0,0.0105*LN('Chemical Properties'!E64)+0.1416)),IF(0.0105*LN('Chemical Properties'!E27)+0.1416&gt;1,1,IF(0.0105*LN('Chemical Properties'!E27)+0.1416&lt;0,0,0.0105*LN('Chemical Properties'!E27)+0.1416)))</f>
        <v>#NUM!</v>
      </c>
      <c r="H116" s="209" t="e">
        <f t="shared" si="28"/>
        <v>#NUM!</v>
      </c>
      <c r="I116" s="208" t="e">
        <f>IF(ISNUMBER('Chemical Properties'!E64),IF(0.0312*LN('Chemical Properties'!E64)+0.4163&gt;1,1,IF(0.0312*LN('Chemical Properties'!E64)+0.4163&lt;0,0,0.0312*LN('Chemical Properties'!E64)+0.4163)),IF(0.0312*LN('Chemical Properties'!E27)+0.4163&gt;1,1,IF(0.0312*LN('Chemical Properties'!E27)+0.4163&lt;0,0,0.0312*LN('Chemical Properties'!E27)+0.4163)))</f>
        <v>#NUM!</v>
      </c>
      <c r="J116" s="209" t="e">
        <f t="shared" si="29"/>
        <v>#NUM!</v>
      </c>
      <c r="K116" s="208" t="e">
        <f>IF(ISNUMBER('Chemical Properties'!E64),IF(0.0004*LN('Chemical Properties'!E64)+0.007&gt;1,1,IF(0.0004*LN('Chemical Properties'!E64)+0.007&lt;0,0,0.0004*LN('Chemical Properties'!E64)+0.007)),IF(0.0004*LN('Chemical Properties'!E27)+0.007&gt;1,1,IF(0.0004*LN('Chemical Properties'!E27)+0.007&lt;0,0,0.0004*LN('Chemical Properties'!E27)+0.007)))</f>
        <v>#NUM!</v>
      </c>
      <c r="L116" s="209" t="e">
        <f t="shared" si="30"/>
        <v>#NUM!</v>
      </c>
      <c r="Q116" s="210"/>
    </row>
    <row r="117" spans="1:20">
      <c r="A117" s="175" t="s">
        <v>61</v>
      </c>
      <c r="B117" s="208" t="e">
        <f>IF(ISNUMBER('Chemical Properties'!E65),IF(0.035*LN('Chemical Properties'!E65)+0.4079&gt;1,1,IF(0.035*LN('Chemical Properties'!E65)+0.4079&lt;0,0,0.035*LN('Chemical Properties'!E65)+0.4079)),IF(0.035*LN('Chemical Properties'!E28)+0.4079&gt;1,1,IF(0.035*LN('Chemical Properties'!E28)+0.4079&lt;0,0,0.035*LN('Chemical Properties'!E28)+0.4079)))</f>
        <v>#NUM!</v>
      </c>
      <c r="C117" s="209" t="e">
        <f t="shared" si="26"/>
        <v>#NUM!</v>
      </c>
      <c r="D117" s="208" t="e">
        <f>IF(ISNUMBER('Chemical Properties'!E65),IF(0.005*LN('Chemical Properties'!E65)+0.0658&gt;1,1,IF(0.005*LN('Chemical Properties'!E65)+0.0658&lt;0,0,0.005*LN('Chemical Properties'!E65)+0.0658)),IF(0.005*LN('Chemical Properties'!E28)+0.0658&gt;1,1,IF(0.005*LN('Chemical Properties'!E28)+0.0658&lt;0,0,0.005*LN('Chemical Properties'!E28)+0.0658)))</f>
        <v>#NUM!</v>
      </c>
      <c r="E117" s="208" t="e">
        <f>IF(ISNUMBER('Chemical Properties'!E65),IF(0.009*LN('Chemical Properties'!E65)+0.1036&gt;1,1,IF(0.009*LN('Chemical Properties'!E65)+0.1036&lt;0,0,0.009*LN('Chemical Properties'!E65)+0.1036)),IF(0.009*LN('Chemical Properties'!E28)+0.1036&gt;1,1,IF(0.009*LN('Chemical Properties'!E28)+0.1036&lt;0,0,0.009*LN('Chemical Properties'!E28)+0.1036)))</f>
        <v>#NUM!</v>
      </c>
      <c r="F117" s="209" t="e">
        <f t="shared" si="27"/>
        <v>#NUM!</v>
      </c>
      <c r="G117" s="208" t="e">
        <f>IF(ISNUMBER('Chemical Properties'!E65),IF(0.0105*LN('Chemical Properties'!E65)+0.1416&gt;1,1,IF(0.0105*LN('Chemical Properties'!E65)+0.1416&lt;0,0,0.0105*LN('Chemical Properties'!E65)+0.1416)),IF(0.0105*LN('Chemical Properties'!E28)+0.1416&gt;1,1,IF(0.0105*LN('Chemical Properties'!E28)+0.1416&lt;0,0,0.0105*LN('Chemical Properties'!E28)+0.1416)))</f>
        <v>#NUM!</v>
      </c>
      <c r="H117" s="209" t="e">
        <f t="shared" si="28"/>
        <v>#NUM!</v>
      </c>
      <c r="I117" s="208" t="e">
        <f>IF(ISNUMBER('Chemical Properties'!E65),IF(0.0312*LN('Chemical Properties'!E65)+0.4163&gt;1,1,IF(0.0312*LN('Chemical Properties'!E65)+0.4163&lt;0,0,0.0312*LN('Chemical Properties'!E65)+0.4163)),IF(0.0312*LN('Chemical Properties'!E28)+0.4163&gt;1,1,IF(0.0312*LN('Chemical Properties'!E28)+0.4163&lt;0,0,0.0312*LN('Chemical Properties'!E28)+0.4163)))</f>
        <v>#NUM!</v>
      </c>
      <c r="J117" s="209" t="e">
        <f t="shared" si="29"/>
        <v>#NUM!</v>
      </c>
      <c r="K117" s="208" t="e">
        <f>IF(ISNUMBER('Chemical Properties'!E65),IF(0.0004*LN('Chemical Properties'!E65)+0.007&gt;1,1,IF(0.0004*LN('Chemical Properties'!E65)+0.007&lt;0,0,0.0004*LN('Chemical Properties'!E65)+0.007)),IF(0.0004*LN('Chemical Properties'!E28)+0.007&gt;1,1,IF(0.0004*LN('Chemical Properties'!E28)+0.007&lt;0,0,0.0004*LN('Chemical Properties'!E28)+0.007)))</f>
        <v>#NUM!</v>
      </c>
      <c r="L117" s="209" t="e">
        <f t="shared" si="30"/>
        <v>#NUM!</v>
      </c>
      <c r="Q117" s="210"/>
    </row>
    <row r="118" spans="1:20">
      <c r="A118" s="65" t="s">
        <v>256</v>
      </c>
      <c r="B118" s="208">
        <f>IF(ISNUMBER('Chemical Properties'!E66),IF(0.035*LN('Chemical Properties'!E66)+0.4079&gt;1,1,IF(0.035*LN('Chemical Properties'!E66)+0.4079&lt;0,0,0.035*LN('Chemical Properties'!E66)+0.4079)),IF(0.035*LN('Chemical Properties'!E29)+0.4079&gt;1,1,IF(0.035*LN('Chemical Properties'!E29)+0.4079&lt;0,0,0.035*LN('Chemical Properties'!E29)+0.4079)))</f>
        <v>0.40610473469643571</v>
      </c>
      <c r="C118" s="209">
        <f t="shared" si="26"/>
        <v>2.0305236734821805E-2</v>
      </c>
      <c r="D118" s="208">
        <f>IF(ISNUMBER('Chemical Properties'!E66),IF(0.005*LN('Chemical Properties'!E66)+0.0658&gt;1,1,IF(0.005*LN('Chemical Properties'!E66)+0.0658&lt;0,0,0.005*LN('Chemical Properties'!E66)+0.0658)),IF(0.005*LN('Chemical Properties'!E29)+0.0658&gt;1,1,IF(0.005*LN('Chemical Properties'!E29)+0.0658&lt;0,0,0.005*LN('Chemical Properties'!E29)+0.0658)))</f>
        <v>6.5543533528062248E-2</v>
      </c>
      <c r="E118" s="208">
        <f>IF(ISNUMBER('Chemical Properties'!E66),IF(0.009*LN('Chemical Properties'!E66)+0.1036&gt;1,1,IF(0.009*LN('Chemical Properties'!E66)+0.1036&lt;0,0,0.009*LN('Chemical Properties'!E66)+0.1036)),IF(0.009*LN('Chemical Properties'!E29)+0.1036&gt;1,1,IF(0.009*LN('Chemical Properties'!E29)+0.1036&lt;0,0,0.009*LN('Chemical Properties'!E29)+0.1036)))</f>
        <v>0.10313836035051205</v>
      </c>
      <c r="F118" s="209">
        <f t="shared" si="27"/>
        <v>5.1569180175256068E-3</v>
      </c>
      <c r="G118" s="208">
        <f>IF(ISNUMBER('Chemical Properties'!E66),IF(0.0105*LN('Chemical Properties'!E66)+0.1416&gt;1,1,IF(0.0105*LN('Chemical Properties'!E66)+0.1416&lt;0,0,0.0105*LN('Chemical Properties'!E66)+0.1416)),IF(0.0105*LN('Chemical Properties'!E29)+0.1416&gt;1,1,IF(0.0105*LN('Chemical Properties'!E29)+0.1416&lt;0,0,0.0105*LN('Chemical Properties'!E29)+0.1416)))</f>
        <v>0.14106142040893072</v>
      </c>
      <c r="H118" s="209">
        <f t="shared" si="28"/>
        <v>7.0530710204465422E-3</v>
      </c>
      <c r="I118" s="208">
        <f>IF(ISNUMBER('Chemical Properties'!E66),IF(0.0312*LN('Chemical Properties'!E66)+0.4163&gt;1,1,IF(0.0312*LN('Chemical Properties'!E66)+0.4163&lt;0,0,0.0312*LN('Chemical Properties'!E66)+0.4163)),IF(0.0312*LN('Chemical Properties'!E29)+0.4163&gt;1,1,IF(0.0312*LN('Chemical Properties'!E29)+0.4163&lt;0,0,0.0312*LN('Chemical Properties'!E29)+0.4163)))</f>
        <v>0.41469964921510843</v>
      </c>
      <c r="J118" s="209">
        <f t="shared" si="29"/>
        <v>2.073498246075544E-2</v>
      </c>
      <c r="K118" s="208">
        <f>IF(ISNUMBER('Chemical Properties'!E66),IF(0.0004*LN('Chemical Properties'!E66)+0.007&gt;1,1,IF(0.0004*LN('Chemical Properties'!E66)+0.007&lt;0,0,0.0004*LN('Chemical Properties'!E66)+0.007)),IF(0.0004*LN('Chemical Properties'!E29)+0.007&gt;1,1,IF(0.0004*LN('Chemical Properties'!E29)+0.007&lt;0,0,0.0004*LN('Chemical Properties'!E29)+0.007)))</f>
        <v>6.9794826822449797E-3</v>
      </c>
      <c r="L118" s="209">
        <f t="shared" si="30"/>
        <v>3.489741341122493E-4</v>
      </c>
      <c r="Q118" s="210"/>
    </row>
    <row r="119" spans="1:20">
      <c r="A119" s="212"/>
      <c r="B119" s="221"/>
      <c r="C119" s="222"/>
      <c r="D119" s="221"/>
      <c r="E119" s="221"/>
      <c r="F119" s="222"/>
      <c r="G119" s="221"/>
      <c r="H119" s="222"/>
      <c r="I119" s="221"/>
      <c r="J119" s="222"/>
      <c r="K119" s="221"/>
      <c r="L119" s="222"/>
      <c r="Q119" s="224"/>
      <c r="R119" s="200"/>
      <c r="S119" s="200"/>
    </row>
    <row r="120" spans="1:20">
      <c r="B120" s="210"/>
      <c r="C120" s="210"/>
      <c r="D120" s="210"/>
      <c r="E120" s="210"/>
      <c r="F120" s="210"/>
      <c r="G120" s="210"/>
      <c r="H120" s="210"/>
      <c r="I120" s="210"/>
      <c r="J120" s="210"/>
      <c r="K120" s="210"/>
      <c r="L120" s="210"/>
      <c r="M120" s="210"/>
      <c r="Q120" s="200"/>
      <c r="R120" s="200"/>
      <c r="S120" s="200"/>
      <c r="T120" s="57"/>
    </row>
    <row r="121" spans="1:20">
      <c r="M121" s="210"/>
      <c r="T121" s="57"/>
    </row>
    <row r="122" spans="1:20">
      <c r="M122" s="210"/>
      <c r="T122" s="57"/>
    </row>
    <row r="123" spans="1:20">
      <c r="M123" s="210"/>
    </row>
    <row r="124" spans="1:20">
      <c r="M124" s="210"/>
    </row>
    <row r="125" spans="1:20">
      <c r="M125" s="210"/>
    </row>
  </sheetData>
  <mergeCells count="22">
    <mergeCell ref="A58:G58"/>
    <mergeCell ref="V24:Y24"/>
    <mergeCell ref="Z24:AC24"/>
    <mergeCell ref="AD24:AG24"/>
    <mergeCell ref="B24:E24"/>
    <mergeCell ref="F24:I24"/>
    <mergeCell ref="J24:M24"/>
    <mergeCell ref="N24:Q24"/>
    <mergeCell ref="R24:U24"/>
    <mergeCell ref="A1:E1"/>
    <mergeCell ref="BZ24:CC24"/>
    <mergeCell ref="AH24:AK24"/>
    <mergeCell ref="AL24:AO24"/>
    <mergeCell ref="AP24:AS24"/>
    <mergeCell ref="AT24:AW24"/>
    <mergeCell ref="AX24:BA24"/>
    <mergeCell ref="BB24:BE24"/>
    <mergeCell ref="BF24:BI24"/>
    <mergeCell ref="BJ24:BM24"/>
    <mergeCell ref="BN24:BQ24"/>
    <mergeCell ref="BR24:BU24"/>
    <mergeCell ref="BV24:BY2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S106"/>
  <sheetViews>
    <sheetView workbookViewId="0">
      <selection activeCell="B3" sqref="B3"/>
    </sheetView>
  </sheetViews>
  <sheetFormatPr defaultRowHeight="14.25" customHeight="1"/>
  <cols>
    <col min="1" max="1" width="28.7109375" style="54" customWidth="1"/>
    <col min="2" max="3" width="9.140625" style="54"/>
    <col min="4" max="4" width="4.28515625" style="54" customWidth="1"/>
    <col min="5" max="5" width="35.140625" style="54" customWidth="1"/>
    <col min="6" max="6" width="9.7109375" style="54" customWidth="1"/>
    <col min="7" max="7" width="15.140625" style="54" customWidth="1"/>
    <col min="8" max="8" width="18" style="54" customWidth="1"/>
    <col min="9" max="9" width="4.5703125" style="54" customWidth="1"/>
    <col min="10" max="10" width="30.85546875" style="54" customWidth="1"/>
    <col min="11" max="11" width="13.28515625" style="54" customWidth="1"/>
    <col min="12" max="12" width="11.42578125" style="54" customWidth="1"/>
    <col min="13" max="13" width="36.140625" style="54" customWidth="1"/>
    <col min="14" max="15" width="9.140625" style="54"/>
    <col min="16" max="16" width="15.28515625" style="54" customWidth="1"/>
    <col min="17" max="17" width="14.85546875" style="54" customWidth="1"/>
    <col min="18" max="18" width="14.140625" style="54" customWidth="1"/>
    <col min="19" max="19" width="18.28515625" style="54" customWidth="1"/>
    <col min="20" max="20" width="9.140625" style="54"/>
    <col min="21" max="21" width="12.7109375" style="54" customWidth="1"/>
    <col min="22" max="16384" width="9.140625" style="54"/>
  </cols>
  <sheetData>
    <row r="1" spans="1:14" ht="63" customHeight="1">
      <c r="A1" s="286" t="s">
        <v>266</v>
      </c>
      <c r="B1" s="285"/>
      <c r="C1" s="285"/>
      <c r="D1" s="285"/>
      <c r="E1" s="285"/>
    </row>
    <row r="2" spans="1:14" ht="12.75">
      <c r="A2" s="68" t="s">
        <v>127</v>
      </c>
      <c r="B2" s="68" t="s">
        <v>4</v>
      </c>
      <c r="C2" s="68" t="s">
        <v>5</v>
      </c>
      <c r="E2" s="68" t="s">
        <v>24</v>
      </c>
      <c r="F2" s="68" t="s">
        <v>4</v>
      </c>
      <c r="G2" s="68" t="s">
        <v>5</v>
      </c>
      <c r="H2" s="68" t="s">
        <v>57</v>
      </c>
      <c r="J2" s="68" t="s">
        <v>22</v>
      </c>
      <c r="K2" s="68" t="s">
        <v>4</v>
      </c>
      <c r="L2" s="68" t="s">
        <v>5</v>
      </c>
      <c r="M2" s="68" t="s">
        <v>32</v>
      </c>
      <c r="N2" s="68" t="s">
        <v>5</v>
      </c>
    </row>
    <row r="3" spans="1:14" ht="15.75">
      <c r="A3" s="56" t="s">
        <v>144</v>
      </c>
      <c r="B3" s="70">
        <v>1.524</v>
      </c>
      <c r="C3" s="59" t="s">
        <v>46</v>
      </c>
      <c r="E3" s="71" t="s">
        <v>142</v>
      </c>
      <c r="F3" s="97">
        <f>H3</f>
        <v>2.4000000000000001E-5</v>
      </c>
      <c r="G3" s="119" t="s">
        <v>145</v>
      </c>
      <c r="H3" s="103">
        <v>2.4000000000000001E-5</v>
      </c>
      <c r="J3" s="60" t="s">
        <v>17</v>
      </c>
      <c r="K3" s="172">
        <f>R46*K79</f>
        <v>0</v>
      </c>
      <c r="L3" s="72" t="s">
        <v>23</v>
      </c>
      <c r="M3" s="173">
        <f t="shared" ref="M3:M24" si="0">(($B$4*B19)-K3)/$B$4</f>
        <v>0</v>
      </c>
      <c r="N3" s="59" t="s">
        <v>18</v>
      </c>
    </row>
    <row r="4" spans="1:14">
      <c r="A4" s="71" t="s">
        <v>143</v>
      </c>
      <c r="B4" s="75">
        <v>1</v>
      </c>
      <c r="C4" s="59" t="s">
        <v>19</v>
      </c>
      <c r="E4" s="71" t="s">
        <v>36</v>
      </c>
      <c r="F4" s="75">
        <f>H4</f>
        <v>8.2100000000000003E-5</v>
      </c>
      <c r="G4" s="72" t="s">
        <v>162</v>
      </c>
      <c r="H4" s="101">
        <v>8.2100000000000003E-5</v>
      </c>
      <c r="J4" s="62" t="s">
        <v>6</v>
      </c>
      <c r="K4" s="172">
        <f t="shared" ref="K4:K24" si="1">R47*K80</f>
        <v>0</v>
      </c>
      <c r="L4" s="72" t="s">
        <v>23</v>
      </c>
      <c r="M4" s="173">
        <f t="shared" si="0"/>
        <v>0</v>
      </c>
      <c r="N4" s="59" t="s">
        <v>18</v>
      </c>
    </row>
    <row r="5" spans="1:14">
      <c r="A5" s="56" t="s">
        <v>181</v>
      </c>
      <c r="B5" s="111">
        <v>3</v>
      </c>
      <c r="C5" s="59" t="s">
        <v>46</v>
      </c>
      <c r="E5" s="71" t="s">
        <v>58</v>
      </c>
      <c r="F5" s="75">
        <f t="shared" ref="F5" si="2">H5</f>
        <v>1E-3</v>
      </c>
      <c r="G5" s="59" t="s">
        <v>43</v>
      </c>
      <c r="H5" s="101">
        <v>1E-3</v>
      </c>
      <c r="J5" s="62" t="s">
        <v>13</v>
      </c>
      <c r="K5" s="172">
        <f t="shared" si="1"/>
        <v>0</v>
      </c>
      <c r="L5" s="72" t="s">
        <v>23</v>
      </c>
      <c r="M5" s="173">
        <f t="shared" si="0"/>
        <v>0</v>
      </c>
      <c r="N5" s="59" t="s">
        <v>18</v>
      </c>
    </row>
    <row r="6" spans="1:14">
      <c r="A6" s="56" t="s">
        <v>182</v>
      </c>
      <c r="B6" s="75">
        <v>0.1</v>
      </c>
      <c r="C6" s="72" t="s">
        <v>46</v>
      </c>
      <c r="J6" s="60" t="s">
        <v>69</v>
      </c>
      <c r="K6" s="172">
        <f t="shared" si="1"/>
        <v>0</v>
      </c>
      <c r="L6" s="72" t="s">
        <v>23</v>
      </c>
      <c r="M6" s="173">
        <f t="shared" si="0"/>
        <v>0</v>
      </c>
      <c r="N6" s="59" t="s">
        <v>18</v>
      </c>
    </row>
    <row r="7" spans="1:14">
      <c r="A7" s="71" t="s">
        <v>123</v>
      </c>
      <c r="B7" s="73">
        <v>25</v>
      </c>
      <c r="C7" s="59" t="s">
        <v>37</v>
      </c>
      <c r="J7" s="62" t="s">
        <v>9</v>
      </c>
      <c r="K7" s="172">
        <f t="shared" si="1"/>
        <v>0</v>
      </c>
      <c r="L7" s="72" t="s">
        <v>23</v>
      </c>
      <c r="M7" s="173">
        <f t="shared" si="0"/>
        <v>0</v>
      </c>
      <c r="N7" s="59" t="s">
        <v>18</v>
      </c>
    </row>
    <row r="8" spans="1:14">
      <c r="J8" s="63" t="s">
        <v>7</v>
      </c>
      <c r="K8" s="172">
        <f t="shared" si="1"/>
        <v>0</v>
      </c>
      <c r="L8" s="72" t="s">
        <v>23</v>
      </c>
      <c r="M8" s="173">
        <f t="shared" si="0"/>
        <v>0</v>
      </c>
      <c r="N8" s="59" t="s">
        <v>18</v>
      </c>
    </row>
    <row r="9" spans="1:14">
      <c r="J9" s="62" t="s">
        <v>8</v>
      </c>
      <c r="K9" s="172">
        <f t="shared" si="1"/>
        <v>0</v>
      </c>
      <c r="L9" s="72" t="s">
        <v>23</v>
      </c>
      <c r="M9" s="173">
        <f t="shared" si="0"/>
        <v>0</v>
      </c>
      <c r="N9" s="59" t="s">
        <v>18</v>
      </c>
    </row>
    <row r="10" spans="1:14">
      <c r="E10" s="161"/>
      <c r="J10" s="62" t="s">
        <v>11</v>
      </c>
      <c r="K10" s="172">
        <f t="shared" si="1"/>
        <v>0</v>
      </c>
      <c r="L10" s="72" t="s">
        <v>23</v>
      </c>
      <c r="M10" s="173">
        <f t="shared" si="0"/>
        <v>0</v>
      </c>
      <c r="N10" s="59" t="s">
        <v>18</v>
      </c>
    </row>
    <row r="11" spans="1:14">
      <c r="J11" s="63" t="s">
        <v>70</v>
      </c>
      <c r="K11" s="172">
        <f t="shared" si="1"/>
        <v>0</v>
      </c>
      <c r="L11" s="72" t="s">
        <v>23</v>
      </c>
      <c r="M11" s="173">
        <f t="shared" si="0"/>
        <v>0</v>
      </c>
      <c r="N11" s="59" t="s">
        <v>18</v>
      </c>
    </row>
    <row r="12" spans="1:14">
      <c r="J12" s="63" t="s">
        <v>16</v>
      </c>
      <c r="K12" s="172">
        <f t="shared" si="1"/>
        <v>0</v>
      </c>
      <c r="L12" s="72" t="s">
        <v>23</v>
      </c>
      <c r="M12" s="173">
        <f t="shared" si="0"/>
        <v>0</v>
      </c>
      <c r="N12" s="59" t="s">
        <v>18</v>
      </c>
    </row>
    <row r="13" spans="1:14">
      <c r="J13" s="60" t="s">
        <v>71</v>
      </c>
      <c r="K13" s="172">
        <f t="shared" si="1"/>
        <v>0</v>
      </c>
      <c r="L13" s="72" t="s">
        <v>23</v>
      </c>
      <c r="M13" s="173">
        <f t="shared" si="0"/>
        <v>0</v>
      </c>
      <c r="N13" s="59" t="s">
        <v>18</v>
      </c>
    </row>
    <row r="14" spans="1:14">
      <c r="G14" s="54" t="s">
        <v>146</v>
      </c>
      <c r="J14" s="62" t="s">
        <v>12</v>
      </c>
      <c r="K14" s="172">
        <f t="shared" si="1"/>
        <v>0</v>
      </c>
      <c r="L14" s="72" t="s">
        <v>23</v>
      </c>
      <c r="M14" s="173">
        <f t="shared" si="0"/>
        <v>0</v>
      </c>
      <c r="N14" s="59" t="s">
        <v>18</v>
      </c>
    </row>
    <row r="15" spans="1:14">
      <c r="J15" s="62" t="s">
        <v>10</v>
      </c>
      <c r="K15" s="172">
        <f t="shared" si="1"/>
        <v>0</v>
      </c>
      <c r="L15" s="72" t="s">
        <v>23</v>
      </c>
      <c r="M15" s="173">
        <f t="shared" si="0"/>
        <v>0</v>
      </c>
      <c r="N15" s="59" t="s">
        <v>18</v>
      </c>
    </row>
    <row r="16" spans="1:14">
      <c r="J16" s="63" t="s">
        <v>72</v>
      </c>
      <c r="K16" s="172">
        <f t="shared" si="1"/>
        <v>0</v>
      </c>
      <c r="L16" s="72" t="s">
        <v>23</v>
      </c>
      <c r="M16" s="173">
        <f t="shared" si="0"/>
        <v>0</v>
      </c>
      <c r="N16" s="59" t="s">
        <v>18</v>
      </c>
    </row>
    <row r="17" spans="1:14">
      <c r="J17" s="63" t="s">
        <v>73</v>
      </c>
      <c r="K17" s="172">
        <f t="shared" si="1"/>
        <v>0</v>
      </c>
      <c r="L17" s="72" t="s">
        <v>23</v>
      </c>
      <c r="M17" s="173">
        <f t="shared" si="0"/>
        <v>0</v>
      </c>
      <c r="N17" s="59" t="s">
        <v>18</v>
      </c>
    </row>
    <row r="18" spans="1:14" ht="15">
      <c r="A18" s="283" t="s">
        <v>102</v>
      </c>
      <c r="B18" s="291"/>
      <c r="C18" s="291"/>
      <c r="J18" s="64" t="s">
        <v>74</v>
      </c>
      <c r="K18" s="172">
        <f t="shared" si="1"/>
        <v>0</v>
      </c>
      <c r="L18" s="72" t="s">
        <v>23</v>
      </c>
      <c r="M18" s="173">
        <f t="shared" si="0"/>
        <v>0</v>
      </c>
      <c r="N18" s="59" t="s">
        <v>18</v>
      </c>
    </row>
    <row r="19" spans="1:14">
      <c r="A19" s="60" t="s">
        <v>17</v>
      </c>
      <c r="B19" s="76">
        <v>0</v>
      </c>
      <c r="C19" s="59" t="s">
        <v>18</v>
      </c>
      <c r="J19" s="63" t="s">
        <v>75</v>
      </c>
      <c r="K19" s="172">
        <f t="shared" si="1"/>
        <v>0</v>
      </c>
      <c r="L19" s="72" t="s">
        <v>23</v>
      </c>
      <c r="M19" s="173">
        <f t="shared" si="0"/>
        <v>0</v>
      </c>
      <c r="N19" s="59" t="s">
        <v>18</v>
      </c>
    </row>
    <row r="20" spans="1:14">
      <c r="A20" s="62" t="s">
        <v>6</v>
      </c>
      <c r="B20" s="76">
        <v>0</v>
      </c>
      <c r="C20" s="59" t="s">
        <v>18</v>
      </c>
      <c r="J20" s="64" t="s">
        <v>78</v>
      </c>
      <c r="K20" s="172">
        <f t="shared" si="1"/>
        <v>0</v>
      </c>
      <c r="L20" s="72" t="s">
        <v>23</v>
      </c>
      <c r="M20" s="173">
        <f t="shared" si="0"/>
        <v>0</v>
      </c>
      <c r="N20" s="59" t="s">
        <v>18</v>
      </c>
    </row>
    <row r="21" spans="1:14">
      <c r="A21" s="62" t="s">
        <v>13</v>
      </c>
      <c r="B21" s="76">
        <v>0</v>
      </c>
      <c r="C21" s="59" t="s">
        <v>18</v>
      </c>
      <c r="J21" s="65" t="s">
        <v>14</v>
      </c>
      <c r="K21" s="172">
        <f t="shared" si="1"/>
        <v>0</v>
      </c>
      <c r="L21" s="72" t="s">
        <v>23</v>
      </c>
      <c r="M21" s="173">
        <f t="shared" si="0"/>
        <v>0</v>
      </c>
      <c r="N21" s="59" t="s">
        <v>18</v>
      </c>
    </row>
    <row r="22" spans="1:14">
      <c r="A22" s="60" t="s">
        <v>69</v>
      </c>
      <c r="B22" s="76">
        <v>0</v>
      </c>
      <c r="C22" s="59" t="s">
        <v>18</v>
      </c>
      <c r="J22" s="65" t="s">
        <v>79</v>
      </c>
      <c r="K22" s="172">
        <f t="shared" si="1"/>
        <v>0</v>
      </c>
      <c r="L22" s="72" t="s">
        <v>23</v>
      </c>
      <c r="M22" s="173">
        <f t="shared" si="0"/>
        <v>0</v>
      </c>
      <c r="N22" s="59" t="s">
        <v>18</v>
      </c>
    </row>
    <row r="23" spans="1:14">
      <c r="A23" s="62" t="s">
        <v>9</v>
      </c>
      <c r="B23" s="76">
        <v>0</v>
      </c>
      <c r="C23" s="59" t="s">
        <v>18</v>
      </c>
      <c r="J23" s="65" t="s">
        <v>15</v>
      </c>
      <c r="K23" s="172">
        <f t="shared" si="1"/>
        <v>0</v>
      </c>
      <c r="L23" s="72" t="s">
        <v>23</v>
      </c>
      <c r="M23" s="173">
        <f t="shared" si="0"/>
        <v>0</v>
      </c>
      <c r="N23" s="59" t="s">
        <v>18</v>
      </c>
    </row>
    <row r="24" spans="1:14">
      <c r="A24" s="63" t="s">
        <v>7</v>
      </c>
      <c r="B24" s="76">
        <v>0</v>
      </c>
      <c r="C24" s="59" t="s">
        <v>18</v>
      </c>
      <c r="J24" s="65" t="s">
        <v>80</v>
      </c>
      <c r="K24" s="172">
        <f t="shared" si="1"/>
        <v>0</v>
      </c>
      <c r="L24" s="72" t="s">
        <v>23</v>
      </c>
      <c r="M24" s="173">
        <f t="shared" si="0"/>
        <v>0</v>
      </c>
      <c r="N24" s="59" t="s">
        <v>18</v>
      </c>
    </row>
    <row r="25" spans="1:14">
      <c r="A25" s="62" t="s">
        <v>8</v>
      </c>
      <c r="B25" s="76">
        <v>0</v>
      </c>
      <c r="C25" s="59" t="s">
        <v>18</v>
      </c>
      <c r="J25" s="65" t="s">
        <v>59</v>
      </c>
      <c r="K25" s="172" t="e">
        <f>R68*K101</f>
        <v>#DIV/0!</v>
      </c>
      <c r="L25" s="72" t="s">
        <v>23</v>
      </c>
      <c r="M25" s="173" t="e">
        <f>(($B$4*B41)-K25)/$B$4</f>
        <v>#DIV/0!</v>
      </c>
      <c r="N25" s="59" t="s">
        <v>18</v>
      </c>
    </row>
    <row r="26" spans="1:14">
      <c r="A26" s="62" t="s">
        <v>11</v>
      </c>
      <c r="B26" s="76">
        <v>0</v>
      </c>
      <c r="C26" s="59" t="s">
        <v>18</v>
      </c>
      <c r="J26" s="81" t="s">
        <v>60</v>
      </c>
      <c r="K26" s="172" t="e">
        <f>R69*K102</f>
        <v>#DIV/0!</v>
      </c>
      <c r="L26" s="72" t="s">
        <v>23</v>
      </c>
      <c r="M26" s="173" t="e">
        <f>(($B$4*B42)-K26)/$B$4</f>
        <v>#DIV/0!</v>
      </c>
      <c r="N26" s="59" t="s">
        <v>18</v>
      </c>
    </row>
    <row r="27" spans="1:14">
      <c r="A27" s="63" t="s">
        <v>70</v>
      </c>
      <c r="B27" s="76">
        <v>0</v>
      </c>
      <c r="C27" s="59" t="s">
        <v>18</v>
      </c>
      <c r="J27" s="65" t="s">
        <v>61</v>
      </c>
      <c r="K27" s="172" t="e">
        <f>R70*K103</f>
        <v>#DIV/0!</v>
      </c>
      <c r="L27" s="72" t="s">
        <v>23</v>
      </c>
      <c r="M27" s="173" t="e">
        <f>(($B$4*B43)-K27)/$B$4</f>
        <v>#DIV/0!</v>
      </c>
      <c r="N27" s="59" t="s">
        <v>18</v>
      </c>
    </row>
    <row r="28" spans="1:14">
      <c r="A28" s="63" t="s">
        <v>16</v>
      </c>
      <c r="B28" s="76">
        <v>0</v>
      </c>
      <c r="C28" s="59" t="s">
        <v>18</v>
      </c>
      <c r="J28" s="65" t="s">
        <v>256</v>
      </c>
      <c r="K28" s="172">
        <f>R71*K104</f>
        <v>0</v>
      </c>
      <c r="L28" s="72" t="s">
        <v>23</v>
      </c>
      <c r="M28" s="173">
        <f>(($B$4*B44)-K28)/$B$4</f>
        <v>0</v>
      </c>
      <c r="N28" s="59" t="s">
        <v>18</v>
      </c>
    </row>
    <row r="29" spans="1:14">
      <c r="A29" s="60" t="s">
        <v>71</v>
      </c>
      <c r="B29" s="76">
        <v>0</v>
      </c>
      <c r="C29" s="59" t="s">
        <v>18</v>
      </c>
    </row>
    <row r="30" spans="1:14">
      <c r="A30" s="62" t="s">
        <v>12</v>
      </c>
      <c r="B30" s="76">
        <v>0</v>
      </c>
      <c r="C30" s="59" t="s">
        <v>18</v>
      </c>
      <c r="J30" s="212"/>
      <c r="K30" s="214"/>
      <c r="L30" s="89"/>
      <c r="M30" s="225"/>
      <c r="N30" s="185"/>
    </row>
    <row r="31" spans="1:14">
      <c r="A31" s="62" t="s">
        <v>10</v>
      </c>
      <c r="B31" s="76">
        <v>0</v>
      </c>
      <c r="C31" s="59" t="s">
        <v>18</v>
      </c>
    </row>
    <row r="32" spans="1:14">
      <c r="A32" s="63" t="s">
        <v>72</v>
      </c>
      <c r="B32" s="76">
        <v>0</v>
      </c>
      <c r="C32" s="59" t="s">
        <v>18</v>
      </c>
    </row>
    <row r="33" spans="1:19">
      <c r="A33" s="63" t="s">
        <v>73</v>
      </c>
      <c r="B33" s="76">
        <v>0</v>
      </c>
      <c r="C33" s="59" t="s">
        <v>18</v>
      </c>
    </row>
    <row r="34" spans="1:19">
      <c r="A34" s="64" t="s">
        <v>74</v>
      </c>
      <c r="B34" s="76">
        <v>0</v>
      </c>
      <c r="C34" s="59" t="s">
        <v>18</v>
      </c>
    </row>
    <row r="35" spans="1:19">
      <c r="A35" s="63" t="s">
        <v>75</v>
      </c>
      <c r="B35" s="76">
        <v>0</v>
      </c>
      <c r="C35" s="59" t="s">
        <v>18</v>
      </c>
    </row>
    <row r="36" spans="1:19" ht="14.25" customHeight="1">
      <c r="A36" s="64" t="s">
        <v>78</v>
      </c>
      <c r="B36" s="76">
        <v>0</v>
      </c>
      <c r="C36" s="59" t="s">
        <v>18</v>
      </c>
    </row>
    <row r="37" spans="1:19" ht="14.25" customHeight="1">
      <c r="A37" s="65" t="s">
        <v>14</v>
      </c>
      <c r="B37" s="76">
        <v>0</v>
      </c>
      <c r="C37" s="59" t="s">
        <v>18</v>
      </c>
    </row>
    <row r="38" spans="1:19" ht="14.25" customHeight="1">
      <c r="A38" s="65" t="s">
        <v>79</v>
      </c>
      <c r="B38" s="76">
        <v>0</v>
      </c>
      <c r="C38" s="59" t="s">
        <v>18</v>
      </c>
    </row>
    <row r="39" spans="1:19" ht="14.25" customHeight="1">
      <c r="A39" s="65" t="s">
        <v>15</v>
      </c>
      <c r="B39" s="76">
        <v>0</v>
      </c>
      <c r="C39" s="59" t="s">
        <v>18</v>
      </c>
      <c r="K39" s="158" t="s">
        <v>184</v>
      </c>
      <c r="L39" s="155">
        <f>B4*60*60/B5</f>
        <v>1200</v>
      </c>
    </row>
    <row r="40" spans="1:19" ht="14.25" customHeight="1">
      <c r="A40" s="65" t="s">
        <v>80</v>
      </c>
      <c r="B40" s="76">
        <v>0</v>
      </c>
      <c r="C40" s="59" t="s">
        <v>18</v>
      </c>
      <c r="J40" s="170"/>
      <c r="K40" s="159" t="s">
        <v>183</v>
      </c>
      <c r="L40" s="168">
        <f>IF(AND(OR($B$3=1.2, $B$3&lt;1.2),OR($L$39=235,$L$39&lt;235)), 0.0785*$B$3^1.31*$L$39^0.428*$B$6^0.31, IF(AND(OR($B$3=1.2, $B$3&lt;1.2),$L$39&gt;235),5.39*$B$3^1.31*$L$39^-0.363*$B$6^0.31, IF(AND($B$3&gt;1.2,OR($L$39=235,$L$39&lt;235)), 0.0861*$B$3^0.816*$L$39^0.428*$B$6^0.31, IF(AND($B$3&gt;1.2,$L$39&gt;235),5.92*$B$3^0.816*$L$39^-0.363*$B$6^0.31))))</f>
        <v>0.3118133085837802</v>
      </c>
      <c r="M40" s="57" t="s">
        <v>251</v>
      </c>
    </row>
    <row r="41" spans="1:19" ht="14.25" customHeight="1">
      <c r="A41" s="65" t="s">
        <v>59</v>
      </c>
      <c r="B41" s="76">
        <v>0</v>
      </c>
      <c r="C41" s="59" t="s">
        <v>18</v>
      </c>
      <c r="J41" s="170"/>
      <c r="K41" s="156" t="s">
        <v>253</v>
      </c>
      <c r="L41" s="169">
        <f>0.042*B3^0.872*L39^0.509</f>
        <v>2.2393162717471942</v>
      </c>
      <c r="M41" s="57" t="s">
        <v>252</v>
      </c>
    </row>
    <row r="42" spans="1:19" ht="14.25" customHeight="1">
      <c r="A42" s="81" t="s">
        <v>60</v>
      </c>
      <c r="B42" s="76">
        <v>0</v>
      </c>
      <c r="C42" s="82" t="s">
        <v>18</v>
      </c>
    </row>
    <row r="43" spans="1:19" ht="14.25" customHeight="1">
      <c r="A43" s="65" t="s">
        <v>61</v>
      </c>
      <c r="B43" s="76">
        <v>0</v>
      </c>
      <c r="C43" s="59" t="s">
        <v>18</v>
      </c>
    </row>
    <row r="44" spans="1:19" ht="14.25" customHeight="1">
      <c r="A44" s="65" t="s">
        <v>256</v>
      </c>
      <c r="B44" s="76">
        <v>0</v>
      </c>
      <c r="C44" s="59" t="s">
        <v>18</v>
      </c>
    </row>
    <row r="45" spans="1:19">
      <c r="J45" s="83" t="s">
        <v>21</v>
      </c>
      <c r="K45" s="156" t="s">
        <v>35</v>
      </c>
      <c r="L45" s="156" t="s">
        <v>186</v>
      </c>
      <c r="M45" s="156" t="s">
        <v>187</v>
      </c>
      <c r="N45" s="157" t="s">
        <v>185</v>
      </c>
      <c r="O45" s="159" t="s">
        <v>188</v>
      </c>
      <c r="P45" s="159" t="s">
        <v>189</v>
      </c>
      <c r="Q45" s="159" t="s">
        <v>190</v>
      </c>
      <c r="R45" s="159" t="s">
        <v>191</v>
      </c>
      <c r="S45" s="159" t="s">
        <v>192</v>
      </c>
    </row>
    <row r="46" spans="1:19" ht="12.75">
      <c r="A46" s="212"/>
      <c r="B46" s="216"/>
      <c r="C46" s="185"/>
      <c r="J46" s="60" t="s">
        <v>17</v>
      </c>
      <c r="K46" s="105">
        <f>IF(ABS('Chemical Properties'!E41)&gt;0,'Chemical Properties'!E41,'Chemical Properties'!E4)/($F$4*($B$7+273.15))</f>
        <v>1.8588032616073582E-4</v>
      </c>
      <c r="L46" s="160">
        <f>$L$39/$B$3*(IF(ABS('Chemical Properties'!F41)&gt;0,'Chemical Properties'!F41,'Chemical Properties'!F4)/$F$3)^0.66*$L$40/3600</f>
        <v>5.3045182257916587E-2</v>
      </c>
      <c r="M46" s="163">
        <f>0.05*(IF(ABS('Chemical Properties'!G41)&gt;0,'Chemical Properties'!G41,'Chemical Properties'!G4)/0.088)^0.66</f>
        <v>7.109379076450921E-2</v>
      </c>
      <c r="N46" s="155">
        <f t="shared" ref="N46:N67" si="3">(1/L46+1/(K46*M46))^-1</f>
        <v>1.3211645650143563E-5</v>
      </c>
      <c r="O46" s="155">
        <f>1-EXP(-N46*$B$3/$L$39*3600)</f>
        <v>6.0401819649058552E-5</v>
      </c>
      <c r="P46" s="160">
        <f>$L$39/$B$3*(IF(ABS('Chemical Properties'!F41)&gt;0,'Chemical Properties'!F41,'Chemical Properties'!F4)/$F$3)^0.66*$L$41/3600</f>
        <v>0.38094890916444701</v>
      </c>
      <c r="Q46" s="155">
        <f>(1/P46+1/(K46*M46))^-1</f>
        <v>1.3214478611313275E-5</v>
      </c>
      <c r="R46" s="155">
        <f>1-EXP(-Q46*$B$3/$L$39*3600)</f>
        <v>6.041477116514038E-5</v>
      </c>
      <c r="S46" s="155">
        <f>R46*K79</f>
        <v>0</v>
      </c>
    </row>
    <row r="47" spans="1:19" ht="12.75">
      <c r="J47" s="62" t="s">
        <v>6</v>
      </c>
      <c r="K47" s="105">
        <f>IF(ABS('Chemical Properties'!E42)&gt;0,'Chemical Properties'!E42,'Chemical Properties'!E5)/($F$4*($B$7+273.15))</f>
        <v>0.22792954908029947</v>
      </c>
      <c r="L47" s="160">
        <f>$L$39/$B$3*(IF(ABS('Chemical Properties'!F42)&gt;0,'Chemical Properties'!F42,'Chemical Properties'!F5)/$F$3)^0.66*$L$40/3600</f>
        <v>3.7762280701053662E-2</v>
      </c>
      <c r="M47" s="163">
        <f>0.05*(IF(ABS('Chemical Properties'!G42)&gt;0,'Chemical Properties'!G42,'Chemical Properties'!G5)/0.088)^0.66</f>
        <v>0.05</v>
      </c>
      <c r="N47" s="155">
        <f t="shared" si="3"/>
        <v>8.7544314944695105E-3</v>
      </c>
      <c r="O47" s="155">
        <f t="shared" ref="O47:O67" si="4">1-EXP(-N47*$B$3/$L$39*3600)</f>
        <v>3.923483084400059E-2</v>
      </c>
      <c r="P47" s="160">
        <f>$L$39/$B$3*(IF(ABS('Chemical Properties'!F42)&gt;0,'Chemical Properties'!F42,'Chemical Properties'!F5)/$F$3)^0.66*$L$41/3600</f>
        <v>0.27119333044578459</v>
      </c>
      <c r="Q47" s="155">
        <f t="shared" ref="Q47:Q67" si="5">(1/P47+1/(K47*M47))^-1</f>
        <v>1.0936872419689304E-2</v>
      </c>
      <c r="R47" s="155">
        <f t="shared" ref="R47:R67" si="6">1-EXP(-Q47*$B$3/$L$39*3600)</f>
        <v>4.8773791317847537E-2</v>
      </c>
      <c r="S47" s="155">
        <f t="shared" ref="S47:S67" si="7">R47*K80</f>
        <v>0</v>
      </c>
    </row>
    <row r="48" spans="1:19" ht="12.75">
      <c r="J48" s="62" t="s">
        <v>13</v>
      </c>
      <c r="K48" s="105">
        <f>IF(ABS('Chemical Properties'!E43)&gt;0,'Chemical Properties'!E43,'Chemical Properties'!E6)/($F$4*($B$7+273.15))</f>
        <v>1.234720891796967</v>
      </c>
      <c r="L48" s="160">
        <f>$L$39/$B$3*(IF(ABS('Chemical Properties'!F43)&gt;0,'Chemical Properties'!F43,'Chemical Properties'!F6)/$F$3)^0.66*$L$40/3600</f>
        <v>3.8269166747452933E-2</v>
      </c>
      <c r="M48" s="163">
        <f>0.05*(IF(ABS('Chemical Properties'!G43)&gt;0,'Chemical Properties'!G43,'Chemical Properties'!G6)/0.088)^0.66</f>
        <v>5.582817673271484E-2</v>
      </c>
      <c r="N48" s="155">
        <f t="shared" si="3"/>
        <v>2.4607690712482269E-2</v>
      </c>
      <c r="O48" s="155">
        <f t="shared" si="4"/>
        <v>0.10640833788384518</v>
      </c>
      <c r="P48" s="160">
        <f>$L$39/$B$3*(IF(ABS('Chemical Properties'!F43)&gt;0,'Chemical Properties'!F43,'Chemical Properties'!F6)/$F$3)^0.66*$L$41/3600</f>
        <v>0.27483357972436373</v>
      </c>
      <c r="Q48" s="155">
        <f t="shared" si="5"/>
        <v>5.5109868267923766E-2</v>
      </c>
      <c r="R48" s="155">
        <f t="shared" si="6"/>
        <v>0.22272597302610897</v>
      </c>
      <c r="S48" s="155">
        <f t="shared" si="7"/>
        <v>0</v>
      </c>
    </row>
    <row r="49" spans="10:19" ht="12.75">
      <c r="J49" s="60" t="s">
        <v>69</v>
      </c>
      <c r="K49" s="105">
        <f>IF(ABS('Chemical Properties'!E44)&gt;0,'Chemical Properties'!E44,'Chemical Properties'!E7)/($F$4*($B$7+273.15))</f>
        <v>2.2836725785461832E-3</v>
      </c>
      <c r="L49" s="160">
        <f>$L$39/$B$3*(IF(ABS('Chemical Properties'!F44)&gt;0,'Chemical Properties'!F44,'Chemical Properties'!F7)/$F$3)^0.66*$L$40/3600</f>
        <v>3.7762280701053662E-2</v>
      </c>
      <c r="M49" s="163">
        <f>0.05*(IF(ABS('Chemical Properties'!G44)&gt;0,'Chemical Properties'!G44,'Chemical Properties'!G7)/0.088)^0.66</f>
        <v>4.7261003499323995E-2</v>
      </c>
      <c r="N49" s="155">
        <f t="shared" si="3"/>
        <v>1.0762106515240531E-4</v>
      </c>
      <c r="O49" s="155">
        <f t="shared" si="4"/>
        <v>4.9192247632101616E-4</v>
      </c>
      <c r="P49" s="160">
        <f>$L$39/$B$3*(IF(ABS('Chemical Properties'!F44)&gt;0,'Chemical Properties'!F44,'Chemical Properties'!F7)/$F$3)^0.66*$L$41/3600</f>
        <v>0.27119333044578459</v>
      </c>
      <c r="Q49" s="155">
        <f t="shared" si="5"/>
        <v>1.0788572171014048E-4</v>
      </c>
      <c r="R49" s="155">
        <f t="shared" si="6"/>
        <v>4.9313189014033032E-4</v>
      </c>
      <c r="S49" s="155">
        <f t="shared" si="7"/>
        <v>0</v>
      </c>
    </row>
    <row r="50" spans="10:19" ht="12.75">
      <c r="J50" s="62" t="s">
        <v>9</v>
      </c>
      <c r="K50" s="105">
        <f>IF(ABS('Chemical Properties'!E45)&gt;0,'Chemical Properties'!E45,'Chemical Properties'!E8)/($F$4*($B$7+273.15))</f>
        <v>1.9731911546293494E-2</v>
      </c>
      <c r="L50" s="160">
        <f>$L$39/$B$3*(IF(ABS('Chemical Properties'!F45)&gt;0,'Chemical Properties'!F45,'Chemical Properties'!F8)/$F$3)^0.66*$L$40/3600</f>
        <v>3.1651146060807545E-2</v>
      </c>
      <c r="M50" s="163">
        <f>0.05*(IF(ABS('Chemical Properties'!G45)&gt;0,'Chemical Properties'!G45,'Chemical Properties'!G8)/0.088)^0.66</f>
        <v>3.8403761896511387E-2</v>
      </c>
      <c r="N50" s="155">
        <f t="shared" si="3"/>
        <v>7.4006136661244339E-4</v>
      </c>
      <c r="O50" s="155">
        <f t="shared" si="4"/>
        <v>3.3778427777408915E-3</v>
      </c>
      <c r="P50" s="160">
        <f>$L$39/$B$3*(IF(ABS('Chemical Properties'!F45)&gt;0,'Chemical Properties'!F45,'Chemical Properties'!F8)/$F$3)^0.66*$L$41/3600</f>
        <v>0.22730564874003678</v>
      </c>
      <c r="Q50" s="155">
        <f t="shared" si="5"/>
        <v>7.5526178073158216E-4</v>
      </c>
      <c r="R50" s="155">
        <f t="shared" si="6"/>
        <v>3.4471019168864636E-3</v>
      </c>
      <c r="S50" s="155">
        <f t="shared" si="7"/>
        <v>0</v>
      </c>
    </row>
    <row r="51" spans="10:19" ht="12.75">
      <c r="J51" s="63" t="s">
        <v>7</v>
      </c>
      <c r="K51" s="105">
        <f>IF(ABS('Chemical Properties'!E46)&gt;0,'Chemical Properties'!E46,'Chemical Properties'!E9)/($F$4*($B$7+273.15))</f>
        <v>0.59645115647181168</v>
      </c>
      <c r="L51" s="160">
        <f>$L$39/$B$3*(IF(ABS('Chemical Properties'!F46)&gt;0,'Chemical Properties'!F46,'Chemical Properties'!F9)/$F$3)^0.66*$L$40/3600</f>
        <v>3.052667593881098E-2</v>
      </c>
      <c r="M51" s="163">
        <f>0.05*(IF(ABS('Chemical Properties'!G46)&gt;0,'Chemical Properties'!G46,'Chemical Properties'!G9)/0.088)^0.66</f>
        <v>4.9247072459264594E-2</v>
      </c>
      <c r="N51" s="155">
        <f t="shared" si="3"/>
        <v>1.4969486927003004E-2</v>
      </c>
      <c r="O51" s="155">
        <f t="shared" si="4"/>
        <v>6.6150972144568887E-2</v>
      </c>
      <c r="P51" s="160">
        <f>$L$39/$B$3*(IF(ABS('Chemical Properties'!F46)&gt;0,'Chemical Properties'!F46,'Chemical Properties'!F9)/$F$3)^0.66*$L$41/3600</f>
        <v>0.21923016199215831</v>
      </c>
      <c r="Q51" s="155">
        <f t="shared" si="5"/>
        <v>2.5902884752100119E-2</v>
      </c>
      <c r="R51" s="155">
        <f t="shared" si="6"/>
        <v>0.11168421821552044</v>
      </c>
      <c r="S51" s="155">
        <f t="shared" si="7"/>
        <v>0</v>
      </c>
    </row>
    <row r="52" spans="10:19" ht="12.75">
      <c r="J52" s="62" t="s">
        <v>8</v>
      </c>
      <c r="K52" s="105">
        <f>IF(ABS('Chemical Properties'!E47)&gt;0,'Chemical Properties'!E47,'Chemical Properties'!E10)/($F$4*($B$7+273.15))</f>
        <v>0.32192021321903264</v>
      </c>
      <c r="L52" s="160">
        <f>$L$39/$B$3*(IF(ABS('Chemical Properties'!F47)&gt;0,'Chemical Properties'!F47,'Chemical Properties'!F10)/$F$3)^0.66*$L$40/3600</f>
        <v>3.2481153507873346E-2</v>
      </c>
      <c r="M52" s="163">
        <f>0.05*(IF(ABS('Chemical Properties'!G47)&gt;0,'Chemical Properties'!G47,'Chemical Properties'!G10)/0.088)^0.66</f>
        <v>4.4993717225260466E-2</v>
      </c>
      <c r="N52" s="155">
        <f t="shared" si="3"/>
        <v>1.0017335976239156E-2</v>
      </c>
      <c r="O52" s="155">
        <f t="shared" si="4"/>
        <v>4.4766303521694084E-2</v>
      </c>
      <c r="P52" s="160">
        <f>$L$39/$B$3*(IF(ABS('Chemical Properties'!F47)&gt;0,'Chemical Properties'!F47,'Chemical Properties'!F10)/$F$3)^0.66*$L$41/3600</f>
        <v>0.23326642440521789</v>
      </c>
      <c r="Q52" s="155">
        <f t="shared" si="5"/>
        <v>1.3637578643637165E-2</v>
      </c>
      <c r="R52" s="155">
        <f t="shared" si="6"/>
        <v>6.0446963192606562E-2</v>
      </c>
      <c r="S52" s="155">
        <f t="shared" si="7"/>
        <v>0</v>
      </c>
    </row>
    <row r="53" spans="10:19" ht="12.75">
      <c r="J53" s="62" t="s">
        <v>11</v>
      </c>
      <c r="K53" s="105">
        <f>IF(ABS('Chemical Properties'!E48)&gt;0,'Chemical Properties'!E48,'Chemical Properties'!E11)/($F$4*($B$7+273.15))</f>
        <v>0.11234525207517</v>
      </c>
      <c r="L53" s="160">
        <f>$L$39/$B$3*(IF(ABS('Chemical Properties'!F48)&gt;0,'Chemical Properties'!F48,'Chemical Properties'!F11)/$F$3)^0.66*$L$40/3600</f>
        <v>3.30284655587781E-2</v>
      </c>
      <c r="M53" s="163">
        <f>0.05*(IF(ABS('Chemical Properties'!G48)&gt;0,'Chemical Properties'!G48,'Chemical Properties'!G11)/0.088)^0.66</f>
        <v>4.3395225638252294E-2</v>
      </c>
      <c r="N53" s="155">
        <f t="shared" si="3"/>
        <v>4.2481839632214106E-3</v>
      </c>
      <c r="O53" s="155">
        <f t="shared" si="4"/>
        <v>1.9235291765728246E-2</v>
      </c>
      <c r="P53" s="160">
        <f>$L$39/$B$3*(IF(ABS('Chemical Properties'!F48)&gt;0,'Chemical Properties'!F48,'Chemical Properties'!F11)/$F$3)^0.66*$L$41/3600</f>
        <v>0.23719699679444939</v>
      </c>
      <c r="Q53" s="155">
        <f t="shared" si="5"/>
        <v>4.7770618382389713E-3</v>
      </c>
      <c r="R53" s="155">
        <f t="shared" si="6"/>
        <v>2.1603945013611292E-2</v>
      </c>
      <c r="S53" s="155">
        <f t="shared" si="7"/>
        <v>0</v>
      </c>
    </row>
    <row r="54" spans="10:19" ht="12.75">
      <c r="J54" s="63" t="s">
        <v>70</v>
      </c>
      <c r="K54" s="105">
        <f>IF(ABS('Chemical Properties'!E49)&gt;0,'Chemical Properties'!E49,'Chemical Properties'!E12)/($F$4*($B$7+273.15))</f>
        <v>3.0067674737209136</v>
      </c>
      <c r="L54" s="160">
        <f>$L$39/$B$3*(IF(ABS('Chemical Properties'!F49)&gt;0,'Chemical Properties'!F49,'Chemical Properties'!F12)/$F$3)^0.66*$L$40/3600</f>
        <v>4.0263236758043316E-2</v>
      </c>
      <c r="M54" s="163">
        <f>0.05*(IF(ABS('Chemical Properties'!G49)&gt;0,'Chemical Properties'!G49,'Chemical Properties'!G12)/0.088)^0.66</f>
        <v>9.9335163239247862E-2</v>
      </c>
      <c r="N54" s="155">
        <f t="shared" si="3"/>
        <v>3.548031478695151E-2</v>
      </c>
      <c r="O54" s="155">
        <f t="shared" si="4"/>
        <v>0.14974247024713006</v>
      </c>
      <c r="P54" s="160">
        <f>$L$39/$B$3*(IF(ABS('Chemical Properties'!F49)&gt;0,'Chemical Properties'!F49,'Chemical Properties'!F12)/$F$3)^0.66*$L$41/3600</f>
        <v>0.28915417893803835</v>
      </c>
      <c r="Q54" s="155">
        <f t="shared" si="5"/>
        <v>0.14691940601552206</v>
      </c>
      <c r="R54" s="155">
        <f t="shared" si="6"/>
        <v>0.48916851815987139</v>
      </c>
      <c r="S54" s="155">
        <f t="shared" si="7"/>
        <v>0</v>
      </c>
    </row>
    <row r="55" spans="10:19" ht="12.75">
      <c r="J55" s="63" t="s">
        <v>16</v>
      </c>
      <c r="K55" s="105">
        <f>IF(ABS('Chemical Properties'!E50)&gt;0,'Chemical Properties'!E50,'Chemical Properties'!E13)/($F$4*($B$7+273.15))</f>
        <v>7.3535809436306684E-8</v>
      </c>
      <c r="L55" s="160">
        <f>$L$39/$B$3*(IF(ABS('Chemical Properties'!F50)&gt;0,'Chemical Properties'!F50,'Chemical Properties'!F13)/$F$3)^0.66*$L$40/3600</f>
        <v>4.8010211655405019E-2</v>
      </c>
      <c r="M55" s="163">
        <f>0.05*(IF(ABS('Chemical Properties'!G50)&gt;0,'Chemical Properties'!G50,'Chemical Properties'!G13)/0.088)^0.66</f>
        <v>7.1910634227894663E-2</v>
      </c>
      <c r="N55" s="155">
        <f t="shared" si="3"/>
        <v>5.2880061125875807E-9</v>
      </c>
      <c r="O55" s="155">
        <f t="shared" si="4"/>
        <v>2.4176763702143944E-8</v>
      </c>
      <c r="P55" s="160">
        <f>$L$39/$B$3*(IF(ABS('Chemical Properties'!F50)&gt;0,'Chemical Properties'!F50,'Chemical Properties'!F13)/$F$3)^0.66*$L$41/3600</f>
        <v>0.3447897995703692</v>
      </c>
      <c r="Q55" s="155">
        <f t="shared" si="5"/>
        <v>5.2880066139247861E-9</v>
      </c>
      <c r="R55" s="155">
        <f t="shared" si="6"/>
        <v>2.4176765922589993E-8</v>
      </c>
      <c r="S55" s="155">
        <f t="shared" si="7"/>
        <v>0</v>
      </c>
    </row>
    <row r="56" spans="10:19" ht="12.75">
      <c r="J56" s="60" t="s">
        <v>71</v>
      </c>
      <c r="K56" s="105">
        <f>IF(ABS('Chemical Properties'!E51)&gt;0,'Chemical Properties'!E51,'Chemical Properties'!E14)/($F$4*($B$7+273.15))</f>
        <v>5.6390017353864438E-3</v>
      </c>
      <c r="L56" s="160">
        <f>$L$39/$B$3*(IF(ABS('Chemical Properties'!F51)&gt;0,'Chemical Properties'!F51,'Chemical Properties'!F14)/$F$3)^0.66*$L$40/3600</f>
        <v>3.2481153507873346E-2</v>
      </c>
      <c r="M56" s="163">
        <f>0.05*(IF(ABS('Chemical Properties'!G51)&gt;0,'Chemical Properties'!G51,'Chemical Properties'!G14)/0.088)^0.66</f>
        <v>4.4993717225260466E-2</v>
      </c>
      <c r="N56" s="155">
        <f t="shared" si="3"/>
        <v>2.5175313324810668E-4</v>
      </c>
      <c r="O56" s="155">
        <f t="shared" si="4"/>
        <v>1.1503531611489759E-3</v>
      </c>
      <c r="P56" s="160">
        <f>$L$39/$B$3*(IF(ABS('Chemical Properties'!F51)&gt;0,'Chemical Properties'!F51,'Chemical Properties'!F14)/$F$3)^0.66*$L$41/3600</f>
        <v>0.23326642440521789</v>
      </c>
      <c r="Q56" s="155">
        <f t="shared" si="5"/>
        <v>2.5344398310140926E-4</v>
      </c>
      <c r="R56" s="155">
        <f t="shared" si="6"/>
        <v>1.1580748039513589E-3</v>
      </c>
      <c r="S56" s="155">
        <f t="shared" si="7"/>
        <v>0</v>
      </c>
    </row>
    <row r="57" spans="10:19" ht="12.75">
      <c r="J57" s="62" t="s">
        <v>12</v>
      </c>
      <c r="K57" s="105">
        <f>IF(ABS('Chemical Properties'!E52)&gt;0,'Chemical Properties'!E52,'Chemical Properties'!E15)/($F$4*($B$7+273.15))</f>
        <v>0.27126271773786503</v>
      </c>
      <c r="L57" s="160">
        <f>$L$39/$B$3*(IF(ABS('Chemical Properties'!F52)&gt;0,'Chemical Properties'!F52,'Chemical Properties'!F15)/$F$3)^0.66*$L$40/3600</f>
        <v>3.4643198641970678E-2</v>
      </c>
      <c r="M57" s="163">
        <f>0.05*(IF(ABS('Chemical Properties'!G52)&gt;0,'Chemical Properties'!G52,'Chemical Properties'!G15)/0.088)^0.66</f>
        <v>4.9624271866510479E-2</v>
      </c>
      <c r="N57" s="155">
        <f t="shared" si="3"/>
        <v>9.6943192155398775E-3</v>
      </c>
      <c r="O57" s="155">
        <f t="shared" si="4"/>
        <v>4.3354541017664672E-2</v>
      </c>
      <c r="P57" s="160">
        <f>$L$39/$B$3*(IF(ABS('Chemical Properties'!F52)&gt;0,'Chemical Properties'!F52,'Chemical Properties'!F15)/$F$3)^0.66*$L$41/3600</f>
        <v>0.24879335258870541</v>
      </c>
      <c r="Q57" s="155">
        <f t="shared" si="5"/>
        <v>1.2770266713343068E-2</v>
      </c>
      <c r="R57" s="155">
        <f t="shared" si="6"/>
        <v>5.6713909881379365E-2</v>
      </c>
      <c r="S57" s="155">
        <f t="shared" si="7"/>
        <v>0</v>
      </c>
    </row>
    <row r="58" spans="10:19" ht="12.75">
      <c r="J58" s="62" t="s">
        <v>10</v>
      </c>
      <c r="K58" s="105">
        <f>IF(ABS('Chemical Properties'!E53)&gt;0,'Chemical Properties'!E53,'Chemical Properties'!E16)/($F$4*($B$7+273.15))</f>
        <v>1.621856911776091E-5</v>
      </c>
      <c r="L58" s="160">
        <f>$L$39/$B$3*(IF(ABS('Chemical Properties'!F53)&gt;0,'Chemical Properties'!F53,'Chemical Properties'!F16)/$F$3)^0.66*$L$40/3600</f>
        <v>3.5959721963763042E-2</v>
      </c>
      <c r="M58" s="163">
        <f>0.05*(IF(ABS('Chemical Properties'!G53)&gt;0,'Chemical Properties'!G53,'Chemical Properties'!G16)/0.088)^0.66</f>
        <v>4.7723093016546266E-2</v>
      </c>
      <c r="N58" s="155">
        <f t="shared" si="3"/>
        <v>7.7398362330922252E-7</v>
      </c>
      <c r="O58" s="155">
        <f t="shared" si="4"/>
        <v>3.5386468647535807E-6</v>
      </c>
      <c r="P58" s="160">
        <f>$L$39/$B$3*(IF(ABS('Chemical Properties'!F53)&gt;0,'Chemical Properties'!F53,'Chemical Properties'!F16)/$F$3)^0.66*$L$41/3600</f>
        <v>0.25824808725033455</v>
      </c>
      <c r="Q58" s="155">
        <f t="shared" si="5"/>
        <v>7.7399796283808747E-7</v>
      </c>
      <c r="R58" s="155">
        <f t="shared" si="6"/>
        <v>3.5387124248664747E-6</v>
      </c>
      <c r="S58" s="155">
        <f t="shared" si="7"/>
        <v>0</v>
      </c>
    </row>
    <row r="59" spans="10:19" ht="12.75">
      <c r="J59" s="63" t="s">
        <v>72</v>
      </c>
      <c r="K59" s="105">
        <f>IF(ABS('Chemical Properties'!E54)&gt;0,'Chemical Properties'!E54,'Chemical Properties'!E17)/($F$4*($B$7+273.15))</f>
        <v>4.9840439102439058</v>
      </c>
      <c r="L59" s="160">
        <f>$L$39/$B$3*(IF(ABS('Chemical Properties'!F54)&gt;0,'Chemical Properties'!F54,'Chemical Properties'!F17)/$F$3)^0.66*$L$40/3600</f>
        <v>3.2398647345116473E-2</v>
      </c>
      <c r="M59" s="163">
        <f>0.05*(IF(ABS('Chemical Properties'!G54)&gt;0,'Chemical Properties'!G54,'Chemical Properties'!G17)/0.088)^0.66</f>
        <v>8.5958976911881105E-2</v>
      </c>
      <c r="N59" s="155">
        <f t="shared" si="3"/>
        <v>3.0120821124506109E-2</v>
      </c>
      <c r="O59" s="155">
        <f t="shared" si="4"/>
        <v>0.12865073917090708</v>
      </c>
      <c r="P59" s="160">
        <f>$L$39/$B$3*(IF(ABS('Chemical Properties'!F54)&gt;0,'Chemical Properties'!F54,'Chemical Properties'!F17)/$F$3)^0.66*$L$41/3600</f>
        <v>0.23267389872496377</v>
      </c>
      <c r="Q59" s="155">
        <f t="shared" si="5"/>
        <v>0.15078406166243932</v>
      </c>
      <c r="R59" s="155">
        <f t="shared" si="6"/>
        <v>0.49811523122903389</v>
      </c>
      <c r="S59" s="155">
        <f t="shared" si="7"/>
        <v>0</v>
      </c>
    </row>
    <row r="60" spans="10:19" ht="12.75">
      <c r="J60" s="63" t="s">
        <v>73</v>
      </c>
      <c r="K60" s="105">
        <f>IF(ABS('Chemical Properties'!E55)&gt;0,'Chemical Properties'!E55,'Chemical Properties'!E18)/($F$4*($B$7+273.15))</f>
        <v>6.618156667700924E-5</v>
      </c>
      <c r="L60" s="160">
        <f>$L$39/$B$3*(IF(ABS('Chemical Properties'!F55)&gt;0,'Chemical Properties'!F55,'Chemical Properties'!F18)/$F$3)^0.66*$L$40/3600</f>
        <v>3.6479405516830841E-2</v>
      </c>
      <c r="M60" s="163">
        <f>0.05*(IF(ABS('Chemical Properties'!G55)&gt;0,'Chemical Properties'!G55,'Chemical Properties'!G18)/0.088)^0.66</f>
        <v>4.2747300211063176E-2</v>
      </c>
      <c r="N60" s="155">
        <f t="shared" si="3"/>
        <v>2.828863912610641E-6</v>
      </c>
      <c r="O60" s="155">
        <f t="shared" si="4"/>
        <v>1.2933482170240929E-5</v>
      </c>
      <c r="P60" s="160">
        <f>$L$39/$B$3*(IF(ABS('Chemical Properties'!F55)&gt;0,'Chemical Properties'!F55,'Chemical Properties'!F18)/$F$3)^0.66*$L$41/3600</f>
        <v>0.26198024301311984</v>
      </c>
      <c r="Q60" s="155">
        <f t="shared" si="5"/>
        <v>2.8290527486864506E-6</v>
      </c>
      <c r="R60" s="155">
        <f t="shared" si="6"/>
        <v>1.2934345517634505E-5</v>
      </c>
      <c r="S60" s="155">
        <f t="shared" si="7"/>
        <v>0</v>
      </c>
    </row>
    <row r="61" spans="10:19" ht="12.75">
      <c r="J61" s="64" t="s">
        <v>74</v>
      </c>
      <c r="K61" s="105">
        <f>IF(ABS('Chemical Properties'!E56)&gt;0,'Chemical Properties'!E56,'Chemical Properties'!E19)/($F$4*($B$7+273.15))</f>
        <v>0.24680162834678984</v>
      </c>
      <c r="L61" s="160">
        <f>$L$39/$B$3*(IF(ABS('Chemical Properties'!F56)&gt;0,'Chemical Properties'!F56,'Chemical Properties'!F19)/$F$3)^0.66*$L$40/3600</f>
        <v>3.6582884386170918E-2</v>
      </c>
      <c r="M61" s="163">
        <f>0.05*(IF(ABS('Chemical Properties'!G56)&gt;0,'Chemical Properties'!G56,'Chemical Properties'!G19)/0.088)^0.66</f>
        <v>4.3556428382194916E-2</v>
      </c>
      <c r="N61" s="155">
        <f t="shared" si="3"/>
        <v>8.3083945811620648E-3</v>
      </c>
      <c r="O61" s="155">
        <f t="shared" si="4"/>
        <v>3.7273561802891542E-2</v>
      </c>
      <c r="P61" s="160">
        <f>$L$39/$B$3*(IF(ABS('Chemical Properties'!F56)&gt;0,'Chemical Properties'!F56,'Chemical Properties'!F19)/$F$3)^0.66*$L$41/3600</f>
        <v>0.26272338613599577</v>
      </c>
      <c r="Q61" s="155">
        <f t="shared" si="5"/>
        <v>1.0327239948099974E-2</v>
      </c>
      <c r="R61" s="155">
        <f t="shared" si="6"/>
        <v>4.611879757016224E-2</v>
      </c>
      <c r="S61" s="155">
        <f t="shared" si="7"/>
        <v>0</v>
      </c>
    </row>
    <row r="62" spans="10:19" ht="12.75">
      <c r="J62" s="63" t="s">
        <v>75</v>
      </c>
      <c r="K62" s="105">
        <f>IF(ABS('Chemical Properties'!E57)&gt;0,'Chemical Properties'!E57,'Chemical Properties'!E20)/($F$4*($B$7+273.15))</f>
        <v>2.267844153849265E-2</v>
      </c>
      <c r="L62" s="160">
        <f>$L$39/$B$3*(IF(ABS('Chemical Properties'!F57)&gt;0,'Chemical Properties'!F57,'Chemical Properties'!F20)/$F$3)^0.66*$L$40/3600</f>
        <v>3.9521547699779745E-2</v>
      </c>
      <c r="M62" s="163">
        <f>0.05*(IF(ABS('Chemical Properties'!G57)&gt;0,'Chemical Properties'!G57,'Chemical Properties'!G20)/0.088)^0.66</f>
        <v>5.5259813149502637E-2</v>
      </c>
      <c r="N62" s="155">
        <f t="shared" si="3"/>
        <v>1.2146893148790075E-3</v>
      </c>
      <c r="O62" s="155">
        <f t="shared" si="4"/>
        <v>5.5381670433808372E-3</v>
      </c>
      <c r="P62" s="160">
        <f>$L$39/$B$3*(IF(ABS('Chemical Properties'!F57)&gt;0,'Chemical Properties'!F57,'Chemical Properties'!F20)/$F$3)^0.66*$L$41/3600</f>
        <v>0.2838276699949468</v>
      </c>
      <c r="Q62" s="155">
        <f t="shared" si="5"/>
        <v>1.2476973863834665E-3</v>
      </c>
      <c r="R62" s="155">
        <f t="shared" si="6"/>
        <v>5.6882328417163786E-3</v>
      </c>
      <c r="S62" s="155">
        <f t="shared" si="7"/>
        <v>0</v>
      </c>
    </row>
    <row r="63" spans="10:19" ht="12.75">
      <c r="J63" s="64" t="s">
        <v>78</v>
      </c>
      <c r="K63" s="105">
        <f>IF(ABS('Chemical Properties'!E58)&gt;0,'Chemical Properties'!E58,'Chemical Properties'!E21)/($F$4*($B$7+273.15))</f>
        <v>1.1438789302199128E-2</v>
      </c>
      <c r="L63" s="160">
        <f>$L$39/$B$3*(IF(ABS('Chemical Properties'!F58)&gt;0,'Chemical Properties'!F58,'Chemical Properties'!F21)/$F$3)^0.66*$L$40/3600</f>
        <v>3.3571144610656606E-2</v>
      </c>
      <c r="M63" s="163">
        <f>0.05*(IF(ABS('Chemical Properties'!G58)&gt;0,'Chemical Properties'!G58,'Chemical Properties'!G21)/0.088)^0.66</f>
        <v>2.9910463408460909E-2</v>
      </c>
      <c r="N63" s="155">
        <f t="shared" si="3"/>
        <v>3.3868776093307442E-4</v>
      </c>
      <c r="O63" s="155">
        <f t="shared" si="4"/>
        <v>1.547282165727637E-3</v>
      </c>
      <c r="P63" s="160">
        <f>$L$39/$B$3*(IF(ABS('Chemical Properties'!F58)&gt;0,'Chemical Properties'!F58,'Chemical Properties'!F21)/$F$3)^0.66*$L$41/3600</f>
        <v>0.24109429687034201</v>
      </c>
      <c r="Q63" s="155">
        <f t="shared" si="5"/>
        <v>3.4165464311145791E-4</v>
      </c>
      <c r="R63" s="155">
        <f t="shared" si="6"/>
        <v>1.5608256709500612E-3</v>
      </c>
      <c r="S63" s="155">
        <f t="shared" si="7"/>
        <v>0</v>
      </c>
    </row>
    <row r="64" spans="10:19" ht="12.75">
      <c r="J64" s="65" t="s">
        <v>14</v>
      </c>
      <c r="K64" s="105">
        <f>IF(ABS('Chemical Properties'!E59)&gt;0,'Chemical Properties'!E59,'Chemical Properties'!E22)/($F$4*($B$7+273.15))</f>
        <v>2.0099586916721326</v>
      </c>
      <c r="L64" s="160">
        <f>$L$39/$B$3*(IF(ABS('Chemical Properties'!F59)&gt;0,'Chemical Properties'!F59,'Chemical Properties'!F22)/$F$3)^0.66*$L$40/3600</f>
        <v>4.5504214168383648E-2</v>
      </c>
      <c r="M64" s="163">
        <f>0.05*(IF(ABS('Chemical Properties'!G59)&gt;0,'Chemical Properties'!G59,'Chemical Properties'!G22)/0.088)^0.66</f>
        <v>7.4706786181619217E-2</v>
      </c>
      <c r="N64" s="155">
        <f t="shared" si="3"/>
        <v>3.4921495202817059E-2</v>
      </c>
      <c r="O64" s="155">
        <f t="shared" si="4"/>
        <v>0.14756735016142264</v>
      </c>
      <c r="P64" s="160">
        <f>$L$39/$B$3*(IF(ABS('Chemical Properties'!F59)&gt;0,'Chemical Properties'!F59,'Chemical Properties'!F22)/$F$3)^0.66*$L$41/3600</f>
        <v>0.32679274557952992</v>
      </c>
      <c r="Q64" s="155">
        <f t="shared" si="5"/>
        <v>0.10288367452968877</v>
      </c>
      <c r="R64" s="155">
        <f t="shared" si="6"/>
        <v>0.37523778644461003</v>
      </c>
      <c r="S64" s="155">
        <f t="shared" si="7"/>
        <v>0</v>
      </c>
    </row>
    <row r="65" spans="10:19" ht="14.25" customHeight="1">
      <c r="J65" s="65" t="s">
        <v>79</v>
      </c>
      <c r="K65" s="105">
        <f>IF(ABS('Chemical Properties'!E60)&gt;0,'Chemical Properties'!E60,'Chemical Properties'!E23)/($F$4*($B$7+273.15))</f>
        <v>5.7193946510995644E-2</v>
      </c>
      <c r="L65" s="160">
        <f>$L$39/$B$3*(IF(ABS('Chemical Properties'!F60)&gt;0,'Chemical Properties'!F60,'Chemical Properties'!F23)/$F$3)^0.66*$L$40/3600</f>
        <v>3.8016158937676077E-2</v>
      </c>
      <c r="M65" s="163">
        <f>0.05*(IF(ABS('Chemical Properties'!G60)&gt;0,'Chemical Properties'!G60,'Chemical Properties'!G23)/0.088)^0.66</f>
        <v>5.582817673271484E-2</v>
      </c>
      <c r="N65" s="155">
        <f t="shared" si="3"/>
        <v>2.9456262244356769E-3</v>
      </c>
      <c r="O65" s="155">
        <f t="shared" si="4"/>
        <v>1.33771233573311E-2</v>
      </c>
      <c r="P65" s="160">
        <f>$L$39/$B$3*(IF(ABS('Chemical Properties'!F60)&gt;0,'Chemical Properties'!F60,'Chemical Properties'!F23)/$F$3)^0.66*$L$41/3600</f>
        <v>0.27301658061074124</v>
      </c>
      <c r="Q65" s="155">
        <f t="shared" si="5"/>
        <v>3.1561216985810025E-3</v>
      </c>
      <c r="R65" s="155">
        <f t="shared" si="6"/>
        <v>1.4326177966787701E-2</v>
      </c>
      <c r="S65" s="155">
        <f t="shared" si="7"/>
        <v>0</v>
      </c>
    </row>
    <row r="66" spans="10:19" ht="14.25" customHeight="1">
      <c r="J66" s="65" t="s">
        <v>15</v>
      </c>
      <c r="K66" s="105">
        <f>IF(ABS('Chemical Properties'!E61)&gt;0,'Chemical Properties'!E61,'Chemical Properties'!E24)/($F$4*($B$7+273.15))</f>
        <v>1.5810040928396652E-9</v>
      </c>
      <c r="L66" s="160">
        <f>$L$39/$B$3*(IF(ABS('Chemical Properties'!F61)&gt;0,'Chemical Properties'!F61,'Chemical Properties'!F24)/$F$3)^0.66*$L$40/3600</f>
        <v>3.7762280701053662E-2</v>
      </c>
      <c r="M66" s="163">
        <f>0.05*(IF(ABS('Chemical Properties'!G61)&gt;0,'Chemical Properties'!G61,'Chemical Properties'!G24)/0.088)^0.66</f>
        <v>4.3152841263491018E-2</v>
      </c>
      <c r="N66" s="155">
        <f t="shared" si="3"/>
        <v>6.8224818531978438E-11</v>
      </c>
      <c r="O66" s="155">
        <f t="shared" si="4"/>
        <v>3.1192382010658548E-10</v>
      </c>
      <c r="P66" s="160">
        <f>$L$39/$B$3*(IF(ABS('Chemical Properties'!F61)&gt;0,'Chemical Properties'!F61,'Chemical Properties'!F24)/$F$3)^0.66*$L$41/3600</f>
        <v>0.27119333044578459</v>
      </c>
      <c r="Q66" s="155">
        <f t="shared" si="5"/>
        <v>6.8224818638076178E-11</v>
      </c>
      <c r="R66" s="155">
        <f t="shared" si="6"/>
        <v>3.1192382010658548E-10</v>
      </c>
      <c r="S66" s="155">
        <f t="shared" si="7"/>
        <v>0</v>
      </c>
    </row>
    <row r="67" spans="10:19" ht="14.25" customHeight="1">
      <c r="J67" s="65" t="s">
        <v>80</v>
      </c>
      <c r="K67" s="105">
        <f>IF(ABS('Chemical Properties'!E62)&gt;0,'Chemical Properties'!E62,'Chemical Properties'!E25)/($F$4*($B$7+273.15))</f>
        <v>123.78404137736914</v>
      </c>
      <c r="L67" s="160">
        <f>$L$39/$B$3*(IF(ABS('Chemical Properties'!F62)&gt;0,'Chemical Properties'!F62,'Chemical Properties'!F25)/$F$3)^0.66*$L$40/3600</f>
        <v>2.9061189063806562E-2</v>
      </c>
      <c r="M67" s="163">
        <f>0.05*(IF(ABS('Chemical Properties'!G62)&gt;0,'Chemical Properties'!G62,'Chemical Properties'!G25)/0.088)^0.66</f>
        <v>4.4317990900391478E-2</v>
      </c>
      <c r="N67" s="155">
        <f t="shared" si="3"/>
        <v>2.8908049485219318E-2</v>
      </c>
      <c r="O67" s="155">
        <f t="shared" si="4"/>
        <v>0.12380586933228788</v>
      </c>
      <c r="P67" s="160">
        <f>$L$39/$B$3*(IF(ABS('Chemical Properties'!F62)&gt;0,'Chemical Properties'!F62,'Chemical Properties'!F25)/$F$3)^0.66*$L$41/3600</f>
        <v>0.20870563172071355</v>
      </c>
      <c r="Q67" s="155">
        <f t="shared" si="5"/>
        <v>0.20105657762585843</v>
      </c>
      <c r="R67" s="155">
        <f t="shared" si="6"/>
        <v>0.6011742494546537</v>
      </c>
      <c r="S67" s="155">
        <f t="shared" si="7"/>
        <v>0</v>
      </c>
    </row>
    <row r="68" spans="10:19" ht="14.25" customHeight="1">
      <c r="J68" s="65" t="s">
        <v>59</v>
      </c>
      <c r="K68" s="105">
        <f>IF(ABS('Chemical Properties'!E63)&gt;0,'Chemical Properties'!E63,'Chemical Properties'!E26)/($F$4*($B$7+273.15))</f>
        <v>0</v>
      </c>
      <c r="L68" s="160">
        <f>$L$39/$B$3*(IF(ABS('Chemical Properties'!F63)&gt;0,'Chemical Properties'!F63,'Chemical Properties'!F26)/$F$3)^0.66*$L$40/3600</f>
        <v>0</v>
      </c>
      <c r="M68" s="163">
        <f>0.05*(IF(ABS('Chemical Properties'!G63)&gt;0,'Chemical Properties'!G63,'Chemical Properties'!G26)/0.088)^0.66</f>
        <v>0</v>
      </c>
      <c r="N68" s="155" t="e">
        <f>(1/L68+1/(K68*M68))^-1</f>
        <v>#DIV/0!</v>
      </c>
      <c r="O68" s="155" t="e">
        <f>1-EXP(-N68*$B$3/$L$39*3600)</f>
        <v>#DIV/0!</v>
      </c>
      <c r="P68" s="160">
        <f>$L$39/$B$3*(IF(ABS('Chemical Properties'!F63)&gt;0,'Chemical Properties'!F63,'Chemical Properties'!F26)/$F$3)^0.66*$L$41/3600</f>
        <v>0</v>
      </c>
      <c r="Q68" s="155" t="e">
        <f>(1/P68+1/(K68*M68))^-1</f>
        <v>#DIV/0!</v>
      </c>
      <c r="R68" s="155" t="e">
        <f>1-EXP(-Q68*$B$3/$L$39*3600)</f>
        <v>#DIV/0!</v>
      </c>
      <c r="S68" s="155" t="e">
        <f>R68*K101</f>
        <v>#DIV/0!</v>
      </c>
    </row>
    <row r="69" spans="10:19" ht="14.25" customHeight="1">
      <c r="J69" s="81" t="s">
        <v>60</v>
      </c>
      <c r="K69" s="105">
        <f>IF(ABS('Chemical Properties'!E64)&gt;0,'Chemical Properties'!E64,'Chemical Properties'!E27)/($F$4*($B$7+273.15))</f>
        <v>0</v>
      </c>
      <c r="L69" s="160">
        <f>$L$39/$B$3*(IF(ABS('Chemical Properties'!F64)&gt;0,'Chemical Properties'!F64,'Chemical Properties'!F27)/$F$3)^0.66*$L$40/3600</f>
        <v>0</v>
      </c>
      <c r="M69" s="163">
        <f>0.05*(IF(ABS('Chemical Properties'!G64)&gt;0,'Chemical Properties'!G64,'Chemical Properties'!G27)/0.088)^0.66</f>
        <v>0</v>
      </c>
      <c r="N69" s="155" t="e">
        <f>(1/L69+1/(K69*M69))^-1</f>
        <v>#DIV/0!</v>
      </c>
      <c r="O69" s="155" t="e">
        <f>1-EXP(-N69*$B$3/$L$39*3600)</f>
        <v>#DIV/0!</v>
      </c>
      <c r="P69" s="160">
        <f>$L$39/$B$3*(IF(ABS('Chemical Properties'!F64)&gt;0,'Chemical Properties'!F64,'Chemical Properties'!F27)/$F$3)^0.66*$L$41/3600</f>
        <v>0</v>
      </c>
      <c r="Q69" s="155" t="e">
        <f>(1/P69+1/(K69*M69))^-1</f>
        <v>#DIV/0!</v>
      </c>
      <c r="R69" s="155" t="e">
        <f>1-EXP(-Q69*$B$3/$L$39*3600)</f>
        <v>#DIV/0!</v>
      </c>
      <c r="S69" s="155" t="e">
        <f>R69*K102</f>
        <v>#DIV/0!</v>
      </c>
    </row>
    <row r="70" spans="10:19" ht="14.25" customHeight="1">
      <c r="J70" s="65" t="s">
        <v>61</v>
      </c>
      <c r="K70" s="105">
        <f>IF(ABS('Chemical Properties'!E65)&gt;0,'Chemical Properties'!E65,'Chemical Properties'!E28)/($F$4*($B$7+273.15))</f>
        <v>0</v>
      </c>
      <c r="L70" s="160">
        <f>$L$39/$B$3*(IF(ABS('Chemical Properties'!F65)&gt;0,'Chemical Properties'!F65,'Chemical Properties'!F28)/$F$3)^0.66*$L$40/3600</f>
        <v>0</v>
      </c>
      <c r="M70" s="163">
        <f>0.05*(IF(ABS('Chemical Properties'!G65)&gt;0,'Chemical Properties'!G65,'Chemical Properties'!G28)/0.088)^0.66</f>
        <v>0</v>
      </c>
      <c r="N70" s="155" t="e">
        <f>(1/L70+1/(K70*M70))^-1</f>
        <v>#DIV/0!</v>
      </c>
      <c r="O70" s="155" t="e">
        <f>1-EXP(-N70*$B$3/$L$39*3600)</f>
        <v>#DIV/0!</v>
      </c>
      <c r="P70" s="160">
        <f>$L$39/$B$3*(IF(ABS('Chemical Properties'!F65)&gt;0,'Chemical Properties'!F65,'Chemical Properties'!F28)/$F$3)^0.66*$L$41/3600</f>
        <v>0</v>
      </c>
      <c r="Q70" s="155" t="e">
        <f>(1/P70+1/(K70*M70))^-1</f>
        <v>#DIV/0!</v>
      </c>
      <c r="R70" s="155" t="e">
        <f>1-EXP(-Q70*$B$3/$L$39*3600)</f>
        <v>#DIV/0!</v>
      </c>
      <c r="S70" s="155" t="e">
        <f>R70*K103</f>
        <v>#DIV/0!</v>
      </c>
    </row>
    <row r="71" spans="10:19" ht="14.25" customHeight="1">
      <c r="J71" s="65" t="s">
        <v>256</v>
      </c>
      <c r="K71" s="105">
        <f>IF(ABS('Chemical Properties'!E66)&gt;0,'Chemical Properties'!E66,'Chemical Properties'!E29)/($F$4*($B$7+273.15))</f>
        <v>38.810177989604185</v>
      </c>
      <c r="L71" s="160">
        <f>$L$39/$B$3*(IF(ABS('Chemical Properties'!F66)&gt;0,'Chemical Properties'!F66,'Chemical Properties'!F29)/$F$3)^0.66*$L$40/3600</f>
        <v>3.902308272085861E-2</v>
      </c>
      <c r="M71" s="163">
        <f>0.05*(IF(ABS('Chemical Properties'!G66)&gt;0,'Chemical Properties'!G66,'Chemical Properties'!G29)/0.088)^0.66</f>
        <v>5.4113938574846525E-2</v>
      </c>
      <c r="N71" s="155">
        <f>(1/L71+1/(K71*M71))^-1</f>
        <v>3.8311225587883288E-2</v>
      </c>
      <c r="O71" s="155">
        <f>1-EXP(-N71*$B$3/$L$39*3600)</f>
        <v>0.16067637798407608</v>
      </c>
      <c r="P71" s="160">
        <f>$L$39/$B$3*(IF(ABS('Chemical Properties'!F66)&gt;0,'Chemical Properties'!F66,'Chemical Properties'!F29)/$F$3)^0.66*$L$41/3600</f>
        <v>0.280247897395554</v>
      </c>
      <c r="Q71" s="155">
        <f>(1/P71+1/(K71*M71))^-1</f>
        <v>0.24725418158923973</v>
      </c>
      <c r="R71" s="155">
        <f>1-EXP(-Q71*$B$3/$L$39*3600)</f>
        <v>0.6771108224605451</v>
      </c>
      <c r="S71" s="155">
        <f>R71*K104</f>
        <v>0</v>
      </c>
    </row>
    <row r="73" spans="10:19" ht="14.25" customHeight="1">
      <c r="J73" s="212"/>
      <c r="K73" s="226"/>
      <c r="L73" s="227"/>
      <c r="M73" s="228"/>
      <c r="N73" s="229"/>
      <c r="O73" s="229"/>
      <c r="P73" s="227"/>
      <c r="Q73" s="229"/>
      <c r="R73" s="229"/>
      <c r="S73" s="229"/>
    </row>
    <row r="77" spans="10:19" ht="14.25" customHeight="1">
      <c r="J77" s="292"/>
      <c r="K77" s="292"/>
      <c r="L77" s="292"/>
      <c r="M77" s="292"/>
      <c r="N77" s="292"/>
      <c r="O77" s="292"/>
      <c r="P77" s="152"/>
    </row>
    <row r="78" spans="10:19" ht="38.25" customHeight="1">
      <c r="J78" s="128" t="s">
        <v>153</v>
      </c>
      <c r="K78" s="129" t="s">
        <v>155</v>
      </c>
      <c r="L78" s="129" t="s">
        <v>156</v>
      </c>
      <c r="M78" s="144" t="s">
        <v>157</v>
      </c>
      <c r="N78" s="129" t="s">
        <v>158</v>
      </c>
      <c r="O78" s="129" t="s">
        <v>154</v>
      </c>
      <c r="P78" s="153" t="s">
        <v>180</v>
      </c>
      <c r="Q78" s="57"/>
      <c r="R78" s="57"/>
      <c r="S78" s="57"/>
    </row>
    <row r="79" spans="10:19" ht="14.25" customHeight="1">
      <c r="J79" s="60" t="s">
        <v>17</v>
      </c>
      <c r="K79" s="72">
        <f t="shared" ref="K79:K100" si="8">$B$4*B19</f>
        <v>0</v>
      </c>
      <c r="L79" s="127">
        <f>M3*$B$4</f>
        <v>0</v>
      </c>
      <c r="M79" s="162">
        <f>K3</f>
        <v>0</v>
      </c>
      <c r="N79" s="130" t="e">
        <f t="shared" ref="N79:N100" si="9">L79/K79*100</f>
        <v>#DIV/0!</v>
      </c>
      <c r="O79" s="130" t="e">
        <f t="shared" ref="O79:O100" si="10">M79/K79*100</f>
        <v>#DIV/0!</v>
      </c>
      <c r="P79" s="154" t="e">
        <f>N79+O79</f>
        <v>#DIV/0!</v>
      </c>
    </row>
    <row r="80" spans="10:19" ht="14.25" customHeight="1">
      <c r="J80" s="62" t="s">
        <v>6</v>
      </c>
      <c r="K80" s="72">
        <f t="shared" si="8"/>
        <v>0</v>
      </c>
      <c r="L80" s="127">
        <f t="shared" ref="L80:L100" si="11">M4*$B$4</f>
        <v>0</v>
      </c>
      <c r="M80" s="162">
        <f t="shared" ref="M80:M100" si="12">K4</f>
        <v>0</v>
      </c>
      <c r="N80" s="130" t="e">
        <f t="shared" si="9"/>
        <v>#DIV/0!</v>
      </c>
      <c r="O80" s="130" t="e">
        <f t="shared" si="10"/>
        <v>#DIV/0!</v>
      </c>
      <c r="P80" s="154" t="e">
        <f t="shared" ref="P80:P100" si="13">N80+O80</f>
        <v>#DIV/0!</v>
      </c>
    </row>
    <row r="81" spans="10:16" ht="14.25" customHeight="1">
      <c r="J81" s="62" t="s">
        <v>13</v>
      </c>
      <c r="K81" s="72">
        <f t="shared" si="8"/>
        <v>0</v>
      </c>
      <c r="L81" s="127">
        <f t="shared" si="11"/>
        <v>0</v>
      </c>
      <c r="M81" s="162">
        <f t="shared" si="12"/>
        <v>0</v>
      </c>
      <c r="N81" s="130" t="e">
        <f t="shared" si="9"/>
        <v>#DIV/0!</v>
      </c>
      <c r="O81" s="130" t="e">
        <f t="shared" si="10"/>
        <v>#DIV/0!</v>
      </c>
      <c r="P81" s="154" t="e">
        <f t="shared" si="13"/>
        <v>#DIV/0!</v>
      </c>
    </row>
    <row r="82" spans="10:16" ht="14.25" customHeight="1">
      <c r="J82" s="60" t="s">
        <v>69</v>
      </c>
      <c r="K82" s="72">
        <f t="shared" si="8"/>
        <v>0</v>
      </c>
      <c r="L82" s="127">
        <f t="shared" si="11"/>
        <v>0</v>
      </c>
      <c r="M82" s="162">
        <f t="shared" si="12"/>
        <v>0</v>
      </c>
      <c r="N82" s="130" t="e">
        <f t="shared" si="9"/>
        <v>#DIV/0!</v>
      </c>
      <c r="O82" s="130" t="e">
        <f t="shared" si="10"/>
        <v>#DIV/0!</v>
      </c>
      <c r="P82" s="154" t="e">
        <f t="shared" si="13"/>
        <v>#DIV/0!</v>
      </c>
    </row>
    <row r="83" spans="10:16" ht="14.25" customHeight="1">
      <c r="J83" s="62" t="s">
        <v>9</v>
      </c>
      <c r="K83" s="72">
        <f t="shared" si="8"/>
        <v>0</v>
      </c>
      <c r="L83" s="127">
        <f t="shared" si="11"/>
        <v>0</v>
      </c>
      <c r="M83" s="162">
        <f t="shared" si="12"/>
        <v>0</v>
      </c>
      <c r="N83" s="130" t="e">
        <f t="shared" si="9"/>
        <v>#DIV/0!</v>
      </c>
      <c r="O83" s="130" t="e">
        <f t="shared" si="10"/>
        <v>#DIV/0!</v>
      </c>
      <c r="P83" s="154" t="e">
        <f t="shared" si="13"/>
        <v>#DIV/0!</v>
      </c>
    </row>
    <row r="84" spans="10:16" ht="14.25" customHeight="1">
      <c r="J84" s="63" t="s">
        <v>7</v>
      </c>
      <c r="K84" s="72">
        <f t="shared" si="8"/>
        <v>0</v>
      </c>
      <c r="L84" s="127">
        <f t="shared" si="11"/>
        <v>0</v>
      </c>
      <c r="M84" s="162">
        <f t="shared" si="12"/>
        <v>0</v>
      </c>
      <c r="N84" s="130" t="e">
        <f t="shared" si="9"/>
        <v>#DIV/0!</v>
      </c>
      <c r="O84" s="130" t="e">
        <f t="shared" si="10"/>
        <v>#DIV/0!</v>
      </c>
      <c r="P84" s="154" t="e">
        <f t="shared" si="13"/>
        <v>#DIV/0!</v>
      </c>
    </row>
    <row r="85" spans="10:16" ht="14.25" customHeight="1">
      <c r="J85" s="62" t="s">
        <v>8</v>
      </c>
      <c r="K85" s="72">
        <f t="shared" si="8"/>
        <v>0</v>
      </c>
      <c r="L85" s="127">
        <f t="shared" si="11"/>
        <v>0</v>
      </c>
      <c r="M85" s="162">
        <f t="shared" si="12"/>
        <v>0</v>
      </c>
      <c r="N85" s="130" t="e">
        <f t="shared" si="9"/>
        <v>#DIV/0!</v>
      </c>
      <c r="O85" s="130" t="e">
        <f t="shared" si="10"/>
        <v>#DIV/0!</v>
      </c>
      <c r="P85" s="154" t="e">
        <f t="shared" si="13"/>
        <v>#DIV/0!</v>
      </c>
    </row>
    <row r="86" spans="10:16" ht="14.25" customHeight="1">
      <c r="J86" s="62" t="s">
        <v>11</v>
      </c>
      <c r="K86" s="72">
        <f t="shared" si="8"/>
        <v>0</v>
      </c>
      <c r="L86" s="127">
        <f t="shared" si="11"/>
        <v>0</v>
      </c>
      <c r="M86" s="162">
        <f t="shared" si="12"/>
        <v>0</v>
      </c>
      <c r="N86" s="130" t="e">
        <f t="shared" si="9"/>
        <v>#DIV/0!</v>
      </c>
      <c r="O86" s="130" t="e">
        <f t="shared" si="10"/>
        <v>#DIV/0!</v>
      </c>
      <c r="P86" s="154" t="e">
        <f t="shared" si="13"/>
        <v>#DIV/0!</v>
      </c>
    </row>
    <row r="87" spans="10:16" ht="14.25" customHeight="1">
      <c r="J87" s="63" t="s">
        <v>70</v>
      </c>
      <c r="K87" s="72">
        <f t="shared" si="8"/>
        <v>0</v>
      </c>
      <c r="L87" s="127">
        <f t="shared" si="11"/>
        <v>0</v>
      </c>
      <c r="M87" s="162">
        <f t="shared" si="12"/>
        <v>0</v>
      </c>
      <c r="N87" s="130" t="e">
        <f t="shared" si="9"/>
        <v>#DIV/0!</v>
      </c>
      <c r="O87" s="130" t="e">
        <f t="shared" si="10"/>
        <v>#DIV/0!</v>
      </c>
      <c r="P87" s="154" t="e">
        <f t="shared" si="13"/>
        <v>#DIV/0!</v>
      </c>
    </row>
    <row r="88" spans="10:16" ht="14.25" customHeight="1">
      <c r="J88" s="63" t="s">
        <v>16</v>
      </c>
      <c r="K88" s="72">
        <f t="shared" si="8"/>
        <v>0</v>
      </c>
      <c r="L88" s="127">
        <f t="shared" si="11"/>
        <v>0</v>
      </c>
      <c r="M88" s="162">
        <f t="shared" si="12"/>
        <v>0</v>
      </c>
      <c r="N88" s="130" t="e">
        <f t="shared" si="9"/>
        <v>#DIV/0!</v>
      </c>
      <c r="O88" s="130" t="e">
        <f t="shared" si="10"/>
        <v>#DIV/0!</v>
      </c>
      <c r="P88" s="154" t="e">
        <f t="shared" si="13"/>
        <v>#DIV/0!</v>
      </c>
    </row>
    <row r="89" spans="10:16" ht="14.25" customHeight="1">
      <c r="J89" s="60" t="s">
        <v>71</v>
      </c>
      <c r="K89" s="72">
        <f t="shared" si="8"/>
        <v>0</v>
      </c>
      <c r="L89" s="127">
        <f t="shared" si="11"/>
        <v>0</v>
      </c>
      <c r="M89" s="162">
        <f t="shared" si="12"/>
        <v>0</v>
      </c>
      <c r="N89" s="130" t="e">
        <f t="shared" si="9"/>
        <v>#DIV/0!</v>
      </c>
      <c r="O89" s="130" t="e">
        <f t="shared" si="10"/>
        <v>#DIV/0!</v>
      </c>
      <c r="P89" s="154" t="e">
        <f t="shared" si="13"/>
        <v>#DIV/0!</v>
      </c>
    </row>
    <row r="90" spans="10:16" ht="14.25" customHeight="1">
      <c r="J90" s="62" t="s">
        <v>12</v>
      </c>
      <c r="K90" s="72">
        <f t="shared" si="8"/>
        <v>0</v>
      </c>
      <c r="L90" s="127">
        <f t="shared" si="11"/>
        <v>0</v>
      </c>
      <c r="M90" s="162">
        <f t="shared" si="12"/>
        <v>0</v>
      </c>
      <c r="N90" s="130" t="e">
        <f t="shared" si="9"/>
        <v>#DIV/0!</v>
      </c>
      <c r="O90" s="130" t="e">
        <f t="shared" si="10"/>
        <v>#DIV/0!</v>
      </c>
      <c r="P90" s="154" t="e">
        <f t="shared" si="13"/>
        <v>#DIV/0!</v>
      </c>
    </row>
    <row r="91" spans="10:16" ht="14.25" customHeight="1">
      <c r="J91" s="62" t="s">
        <v>10</v>
      </c>
      <c r="K91" s="72">
        <f t="shared" si="8"/>
        <v>0</v>
      </c>
      <c r="L91" s="127">
        <f t="shared" si="11"/>
        <v>0</v>
      </c>
      <c r="M91" s="162">
        <f t="shared" si="12"/>
        <v>0</v>
      </c>
      <c r="N91" s="130" t="e">
        <f t="shared" si="9"/>
        <v>#DIV/0!</v>
      </c>
      <c r="O91" s="130" t="e">
        <f t="shared" si="10"/>
        <v>#DIV/0!</v>
      </c>
      <c r="P91" s="154" t="e">
        <f t="shared" si="13"/>
        <v>#DIV/0!</v>
      </c>
    </row>
    <row r="92" spans="10:16" ht="14.25" customHeight="1">
      <c r="J92" s="63" t="s">
        <v>72</v>
      </c>
      <c r="K92" s="72">
        <f t="shared" si="8"/>
        <v>0</v>
      </c>
      <c r="L92" s="127">
        <f t="shared" si="11"/>
        <v>0</v>
      </c>
      <c r="M92" s="162">
        <f t="shared" si="12"/>
        <v>0</v>
      </c>
      <c r="N92" s="130" t="e">
        <f t="shared" si="9"/>
        <v>#DIV/0!</v>
      </c>
      <c r="O92" s="130" t="e">
        <f t="shared" si="10"/>
        <v>#DIV/0!</v>
      </c>
      <c r="P92" s="154" t="e">
        <f t="shared" si="13"/>
        <v>#DIV/0!</v>
      </c>
    </row>
    <row r="93" spans="10:16" ht="14.25" customHeight="1">
      <c r="J93" s="63" t="s">
        <v>73</v>
      </c>
      <c r="K93" s="72">
        <f t="shared" si="8"/>
        <v>0</v>
      </c>
      <c r="L93" s="127">
        <f t="shared" si="11"/>
        <v>0</v>
      </c>
      <c r="M93" s="162">
        <f t="shared" si="12"/>
        <v>0</v>
      </c>
      <c r="N93" s="130" t="e">
        <f t="shared" si="9"/>
        <v>#DIV/0!</v>
      </c>
      <c r="O93" s="130" t="e">
        <f t="shared" si="10"/>
        <v>#DIV/0!</v>
      </c>
      <c r="P93" s="154" t="e">
        <f t="shared" si="13"/>
        <v>#DIV/0!</v>
      </c>
    </row>
    <row r="94" spans="10:16" ht="14.25" customHeight="1">
      <c r="J94" s="64" t="s">
        <v>74</v>
      </c>
      <c r="K94" s="72">
        <f t="shared" si="8"/>
        <v>0</v>
      </c>
      <c r="L94" s="127">
        <f t="shared" si="11"/>
        <v>0</v>
      </c>
      <c r="M94" s="162">
        <f t="shared" si="12"/>
        <v>0</v>
      </c>
      <c r="N94" s="130" t="e">
        <f t="shared" si="9"/>
        <v>#DIV/0!</v>
      </c>
      <c r="O94" s="130" t="e">
        <f t="shared" si="10"/>
        <v>#DIV/0!</v>
      </c>
      <c r="P94" s="154" t="e">
        <f t="shared" si="13"/>
        <v>#DIV/0!</v>
      </c>
    </row>
    <row r="95" spans="10:16" ht="14.25" customHeight="1">
      <c r="J95" s="63" t="s">
        <v>75</v>
      </c>
      <c r="K95" s="72">
        <f t="shared" si="8"/>
        <v>0</v>
      </c>
      <c r="L95" s="127">
        <f t="shared" si="11"/>
        <v>0</v>
      </c>
      <c r="M95" s="162">
        <f t="shared" si="12"/>
        <v>0</v>
      </c>
      <c r="N95" s="130" t="e">
        <f t="shared" si="9"/>
        <v>#DIV/0!</v>
      </c>
      <c r="O95" s="130" t="e">
        <f t="shared" si="10"/>
        <v>#DIV/0!</v>
      </c>
      <c r="P95" s="154" t="e">
        <f t="shared" si="13"/>
        <v>#DIV/0!</v>
      </c>
    </row>
    <row r="96" spans="10:16" ht="14.25" customHeight="1">
      <c r="J96" s="64" t="s">
        <v>78</v>
      </c>
      <c r="K96" s="72">
        <f t="shared" si="8"/>
        <v>0</v>
      </c>
      <c r="L96" s="127">
        <f t="shared" si="11"/>
        <v>0</v>
      </c>
      <c r="M96" s="162">
        <f t="shared" si="12"/>
        <v>0</v>
      </c>
      <c r="N96" s="130" t="e">
        <f t="shared" si="9"/>
        <v>#DIV/0!</v>
      </c>
      <c r="O96" s="130" t="e">
        <f t="shared" si="10"/>
        <v>#DIV/0!</v>
      </c>
      <c r="P96" s="154" t="e">
        <f t="shared" si="13"/>
        <v>#DIV/0!</v>
      </c>
    </row>
    <row r="97" spans="10:16" ht="14.25" customHeight="1">
      <c r="J97" s="65" t="s">
        <v>14</v>
      </c>
      <c r="K97" s="72">
        <f t="shared" si="8"/>
        <v>0</v>
      </c>
      <c r="L97" s="127">
        <f t="shared" si="11"/>
        <v>0</v>
      </c>
      <c r="M97" s="162">
        <f t="shared" si="12"/>
        <v>0</v>
      </c>
      <c r="N97" s="130" t="e">
        <f t="shared" si="9"/>
        <v>#DIV/0!</v>
      </c>
      <c r="O97" s="130" t="e">
        <f t="shared" si="10"/>
        <v>#DIV/0!</v>
      </c>
      <c r="P97" s="154" t="e">
        <f t="shared" si="13"/>
        <v>#DIV/0!</v>
      </c>
    </row>
    <row r="98" spans="10:16" ht="14.25" customHeight="1">
      <c r="J98" s="65" t="s">
        <v>79</v>
      </c>
      <c r="K98" s="72">
        <f t="shared" si="8"/>
        <v>0</v>
      </c>
      <c r="L98" s="127">
        <f t="shared" si="11"/>
        <v>0</v>
      </c>
      <c r="M98" s="162">
        <f t="shared" si="12"/>
        <v>0</v>
      </c>
      <c r="N98" s="130" t="e">
        <f t="shared" si="9"/>
        <v>#DIV/0!</v>
      </c>
      <c r="O98" s="130" t="e">
        <f t="shared" si="10"/>
        <v>#DIV/0!</v>
      </c>
      <c r="P98" s="154" t="e">
        <f t="shared" si="13"/>
        <v>#DIV/0!</v>
      </c>
    </row>
    <row r="99" spans="10:16" ht="14.25" customHeight="1">
      <c r="J99" s="65" t="s">
        <v>15</v>
      </c>
      <c r="K99" s="72">
        <f t="shared" si="8"/>
        <v>0</v>
      </c>
      <c r="L99" s="127">
        <f t="shared" si="11"/>
        <v>0</v>
      </c>
      <c r="M99" s="162">
        <f t="shared" si="12"/>
        <v>0</v>
      </c>
      <c r="N99" s="130" t="e">
        <f t="shared" si="9"/>
        <v>#DIV/0!</v>
      </c>
      <c r="O99" s="130" t="e">
        <f t="shared" si="10"/>
        <v>#DIV/0!</v>
      </c>
      <c r="P99" s="154" t="e">
        <f t="shared" si="13"/>
        <v>#DIV/0!</v>
      </c>
    </row>
    <row r="100" spans="10:16" ht="14.25" customHeight="1">
      <c r="J100" s="65" t="s">
        <v>80</v>
      </c>
      <c r="K100" s="72">
        <f t="shared" si="8"/>
        <v>0</v>
      </c>
      <c r="L100" s="127">
        <f t="shared" si="11"/>
        <v>0</v>
      </c>
      <c r="M100" s="162">
        <f t="shared" si="12"/>
        <v>0</v>
      </c>
      <c r="N100" s="130" t="e">
        <f t="shared" si="9"/>
        <v>#DIV/0!</v>
      </c>
      <c r="O100" s="130" t="e">
        <f t="shared" si="10"/>
        <v>#DIV/0!</v>
      </c>
      <c r="P100" s="154" t="e">
        <f t="shared" si="13"/>
        <v>#DIV/0!</v>
      </c>
    </row>
    <row r="101" spans="10:16" ht="14.25" customHeight="1">
      <c r="J101" s="65" t="s">
        <v>59</v>
      </c>
      <c r="K101" s="72">
        <f>$B$4*B41</f>
        <v>0</v>
      </c>
      <c r="L101" s="127" t="e">
        <f>M25*$B$4</f>
        <v>#DIV/0!</v>
      </c>
      <c r="M101" s="162" t="e">
        <f>K25</f>
        <v>#DIV/0!</v>
      </c>
      <c r="N101" s="130" t="e">
        <f>L101/K101*100</f>
        <v>#DIV/0!</v>
      </c>
      <c r="O101" s="130" t="e">
        <f>M101/K101*100</f>
        <v>#DIV/0!</v>
      </c>
      <c r="P101" s="154" t="e">
        <f>N101+O101</f>
        <v>#DIV/0!</v>
      </c>
    </row>
    <row r="102" spans="10:16" ht="14.25" customHeight="1">
      <c r="J102" s="81" t="s">
        <v>60</v>
      </c>
      <c r="K102" s="72">
        <f>$B$4*B42</f>
        <v>0</v>
      </c>
      <c r="L102" s="127" t="e">
        <f>M26*$B$4</f>
        <v>#DIV/0!</v>
      </c>
      <c r="M102" s="162" t="e">
        <f>K26</f>
        <v>#DIV/0!</v>
      </c>
      <c r="N102" s="130" t="e">
        <f>L102/K102*100</f>
        <v>#DIV/0!</v>
      </c>
      <c r="O102" s="130" t="e">
        <f>M102/K102*100</f>
        <v>#DIV/0!</v>
      </c>
      <c r="P102" s="154" t="e">
        <f>N102+O102</f>
        <v>#DIV/0!</v>
      </c>
    </row>
    <row r="103" spans="10:16" ht="14.25" customHeight="1">
      <c r="J103" s="65" t="s">
        <v>61</v>
      </c>
      <c r="K103" s="72">
        <f>$B$4*B43</f>
        <v>0</v>
      </c>
      <c r="L103" s="127" t="e">
        <f>M27*$B$4</f>
        <v>#DIV/0!</v>
      </c>
      <c r="M103" s="162" t="e">
        <f>K27</f>
        <v>#DIV/0!</v>
      </c>
      <c r="N103" s="130" t="e">
        <f>L103/K103*100</f>
        <v>#DIV/0!</v>
      </c>
      <c r="O103" s="130" t="e">
        <f>M103/K103*100</f>
        <v>#DIV/0!</v>
      </c>
      <c r="P103" s="154" t="e">
        <f>N103+O103</f>
        <v>#DIV/0!</v>
      </c>
    </row>
    <row r="104" spans="10:16" ht="14.25" customHeight="1">
      <c r="J104" s="65" t="s">
        <v>256</v>
      </c>
      <c r="K104" s="72">
        <f>$B$4*B44</f>
        <v>0</v>
      </c>
      <c r="L104" s="127">
        <f>M28*$B$4</f>
        <v>0</v>
      </c>
      <c r="M104" s="162">
        <f>K28</f>
        <v>0</v>
      </c>
      <c r="N104" s="130" t="e">
        <f>L104/K104*100</f>
        <v>#DIV/0!</v>
      </c>
      <c r="O104" s="130" t="e">
        <f>M104/K104*100</f>
        <v>#DIV/0!</v>
      </c>
      <c r="P104" s="154" t="e">
        <f>N104+O104</f>
        <v>#DIV/0!</v>
      </c>
    </row>
    <row r="106" spans="10:16" ht="14.25" customHeight="1">
      <c r="J106" s="212"/>
      <c r="K106" s="89"/>
      <c r="L106" s="214"/>
      <c r="M106" s="225"/>
      <c r="N106" s="133"/>
      <c r="O106" s="133"/>
      <c r="P106" s="230"/>
    </row>
  </sheetData>
  <mergeCells count="3">
    <mergeCell ref="A1:E1"/>
    <mergeCell ref="A18:C18"/>
    <mergeCell ref="J77:O77"/>
  </mergeCells>
  <pageMargins left="0.7" right="0.7" top="0.75" bottom="0.75" header="0.3" footer="0.3"/>
  <pageSetup scale="30" orientation="portrait" r:id="rId1"/>
</worksheet>
</file>

<file path=xl/worksheets/sheet5.xml><?xml version="1.0" encoding="utf-8"?>
<worksheet xmlns="http://schemas.openxmlformats.org/spreadsheetml/2006/main" xmlns:r="http://schemas.openxmlformats.org/officeDocument/2006/relationships">
  <sheetPr>
    <tabColor rgb="FF00B050"/>
    <pageSetUpPr fitToPage="1"/>
  </sheetPr>
  <dimension ref="A1:P99"/>
  <sheetViews>
    <sheetView workbookViewId="0">
      <selection activeCell="B3" sqref="B3"/>
    </sheetView>
  </sheetViews>
  <sheetFormatPr defaultRowHeight="12.75"/>
  <cols>
    <col min="1" max="1" width="32.42578125" style="57" customWidth="1"/>
    <col min="2" max="2" width="11.28515625" style="57" bestFit="1" customWidth="1"/>
    <col min="3" max="3" width="9.140625" style="57"/>
    <col min="4" max="4" width="2.42578125" style="57" customWidth="1"/>
    <col min="5" max="5" width="36.28515625" style="57" customWidth="1"/>
    <col min="6" max="6" width="9.140625" style="57"/>
    <col min="7" max="7" width="12.85546875" style="57" customWidth="1"/>
    <col min="8" max="8" width="19.85546875" style="57" customWidth="1"/>
    <col min="9" max="9" width="2.85546875" style="57" customWidth="1"/>
    <col min="10" max="10" width="31.42578125" style="57" customWidth="1"/>
    <col min="11" max="11" width="12.42578125" style="57" bestFit="1" customWidth="1"/>
    <col min="12" max="12" width="9.140625" style="57"/>
    <col min="13" max="13" width="35.140625" style="57" customWidth="1"/>
    <col min="14" max="14" width="10" style="57" bestFit="1" customWidth="1"/>
    <col min="15" max="15" width="15.28515625" style="57" customWidth="1"/>
    <col min="16" max="16" width="10" style="57" bestFit="1" customWidth="1"/>
    <col min="17" max="17" width="12.42578125" style="57" bestFit="1" customWidth="1"/>
    <col min="18" max="18" width="10.7109375" style="57" customWidth="1"/>
    <col min="19" max="19" width="12" style="57" customWidth="1"/>
    <col min="20" max="20" width="26.42578125" style="57" customWidth="1"/>
    <col min="21" max="21" width="12.5703125" style="57" customWidth="1"/>
    <col min="22" max="22" width="9.140625" style="57"/>
    <col min="23" max="23" width="11.85546875" style="57" customWidth="1"/>
    <col min="24" max="25" width="12.5703125" style="57" customWidth="1"/>
    <col min="26" max="26" width="12.28515625" style="57" customWidth="1"/>
    <col min="27" max="16384" width="9.140625" style="57"/>
  </cols>
  <sheetData>
    <row r="1" spans="1:15" ht="39.75" customHeight="1">
      <c r="A1" s="286" t="s">
        <v>265</v>
      </c>
      <c r="B1" s="285"/>
      <c r="C1" s="285"/>
      <c r="D1" s="285"/>
      <c r="E1" s="285"/>
      <c r="F1" s="285"/>
      <c r="G1" s="285"/>
      <c r="H1" s="90"/>
    </row>
    <row r="2" spans="1:15">
      <c r="A2" s="68" t="s">
        <v>127</v>
      </c>
      <c r="B2" s="68" t="s">
        <v>4</v>
      </c>
      <c r="C2" s="68" t="s">
        <v>5</v>
      </c>
      <c r="D2" s="86"/>
      <c r="E2" s="68" t="s">
        <v>24</v>
      </c>
      <c r="F2" s="68" t="s">
        <v>4</v>
      </c>
      <c r="G2" s="68" t="s">
        <v>5</v>
      </c>
      <c r="H2" s="68" t="s">
        <v>57</v>
      </c>
      <c r="I2" s="86"/>
      <c r="J2" s="68" t="s">
        <v>247</v>
      </c>
      <c r="K2" s="68" t="s">
        <v>4</v>
      </c>
      <c r="L2" s="68" t="s">
        <v>5</v>
      </c>
      <c r="M2" s="68" t="s">
        <v>32</v>
      </c>
      <c r="N2" s="68" t="s">
        <v>5</v>
      </c>
      <c r="O2" s="69"/>
    </row>
    <row r="3" spans="1:15" ht="15.75">
      <c r="A3" s="56" t="s">
        <v>122</v>
      </c>
      <c r="B3" s="92">
        <v>200</v>
      </c>
      <c r="C3" s="59" t="s">
        <v>1</v>
      </c>
      <c r="D3" s="58"/>
      <c r="E3" s="71" t="s">
        <v>163</v>
      </c>
      <c r="F3" s="75">
        <f t="shared" ref="F3:F8" si="0">H3</f>
        <v>1.8100000000000001E-4</v>
      </c>
      <c r="G3" s="72" t="s">
        <v>25</v>
      </c>
      <c r="H3" s="101">
        <v>1.8100000000000001E-4</v>
      </c>
      <c r="I3" s="58"/>
      <c r="J3" s="60" t="s">
        <v>17</v>
      </c>
      <c r="K3" s="172">
        <f t="shared" ref="K3:K24" si="1">IF(ABS(N38*P38*$B$3)&gt;K72,K72,(N38*P38*$B$3))</f>
        <v>1.6114746479673798E-4</v>
      </c>
      <c r="L3" s="72" t="s">
        <v>23</v>
      </c>
      <c r="M3" s="173">
        <f t="shared" ref="M3:M24" si="2">($B$5*B11-N38*P38*$B$3-$F$8*P38)/($B$5-$F$8)</f>
        <v>1.0008056641121545</v>
      </c>
      <c r="N3" s="59" t="s">
        <v>18</v>
      </c>
    </row>
    <row r="4" spans="1:15" ht="15.75">
      <c r="A4" s="71" t="s">
        <v>130</v>
      </c>
      <c r="B4" s="93">
        <v>1</v>
      </c>
      <c r="C4" s="82" t="s">
        <v>3</v>
      </c>
      <c r="D4" s="58"/>
      <c r="E4" s="71" t="s">
        <v>27</v>
      </c>
      <c r="F4" s="75">
        <f t="shared" si="0"/>
        <v>1.1999999999999999E-3</v>
      </c>
      <c r="G4" s="72" t="s">
        <v>26</v>
      </c>
      <c r="H4" s="101">
        <v>1.1999999999999999E-3</v>
      </c>
      <c r="I4" s="58"/>
      <c r="J4" s="62" t="s">
        <v>6</v>
      </c>
      <c r="K4" s="172">
        <f t="shared" si="1"/>
        <v>8.4979555727641501E-2</v>
      </c>
      <c r="L4" s="72" t="s">
        <v>23</v>
      </c>
      <c r="M4" s="173">
        <f t="shared" si="2"/>
        <v>0.88191487206935648</v>
      </c>
      <c r="N4" s="59" t="s">
        <v>18</v>
      </c>
    </row>
    <row r="5" spans="1:15" ht="15.75">
      <c r="A5" s="56" t="s">
        <v>124</v>
      </c>
      <c r="B5" s="66">
        <v>1</v>
      </c>
      <c r="C5" s="59" t="s">
        <v>19</v>
      </c>
      <c r="D5" s="58"/>
      <c r="E5" s="71" t="s">
        <v>29</v>
      </c>
      <c r="F5" s="75">
        <f t="shared" si="0"/>
        <v>282</v>
      </c>
      <c r="G5" s="72" t="s">
        <v>28</v>
      </c>
      <c r="H5" s="101">
        <v>282</v>
      </c>
      <c r="I5" s="58"/>
      <c r="J5" s="62" t="s">
        <v>13</v>
      </c>
      <c r="K5" s="172">
        <f t="shared" si="1"/>
        <v>8.3125698868186229E-2</v>
      </c>
      <c r="L5" s="72" t="s">
        <v>23</v>
      </c>
      <c r="M5" s="173">
        <f t="shared" si="2"/>
        <v>0.90991810737033663</v>
      </c>
      <c r="N5" s="59" t="s">
        <v>18</v>
      </c>
    </row>
    <row r="6" spans="1:15" ht="15.75">
      <c r="A6" s="56" t="s">
        <v>56</v>
      </c>
      <c r="B6" s="275">
        <v>4.4130000000000003</v>
      </c>
      <c r="C6" s="59" t="s">
        <v>0</v>
      </c>
      <c r="D6" s="58"/>
      <c r="E6" s="71" t="s">
        <v>30</v>
      </c>
      <c r="F6" s="75">
        <f t="shared" si="0"/>
        <v>29</v>
      </c>
      <c r="G6" s="72" t="s">
        <v>28</v>
      </c>
      <c r="H6" s="101">
        <v>29</v>
      </c>
      <c r="I6" s="58"/>
      <c r="J6" s="60" t="s">
        <v>69</v>
      </c>
      <c r="K6" s="172">
        <f t="shared" si="1"/>
        <v>1.3386272727062367E-3</v>
      </c>
      <c r="L6" s="72" t="s">
        <v>23</v>
      </c>
      <c r="M6" s="173">
        <f t="shared" si="2"/>
        <v>0.99909535839946984</v>
      </c>
      <c r="N6" s="59" t="s">
        <v>18</v>
      </c>
    </row>
    <row r="7" spans="1:15" ht="15.75">
      <c r="D7" s="58"/>
      <c r="E7" s="71" t="s">
        <v>31</v>
      </c>
      <c r="F7" s="75">
        <f t="shared" si="0"/>
        <v>0.92</v>
      </c>
      <c r="G7" s="72" t="s">
        <v>26</v>
      </c>
      <c r="H7" s="101">
        <v>0.92</v>
      </c>
      <c r="I7" s="58"/>
      <c r="J7" s="62" t="s">
        <v>9</v>
      </c>
      <c r="K7" s="172">
        <f t="shared" si="1"/>
        <v>1.1896990748714836E-3</v>
      </c>
      <c r="L7" s="72" t="s">
        <v>23</v>
      </c>
      <c r="M7" s="173">
        <f t="shared" si="2"/>
        <v>0.30396359536186723</v>
      </c>
      <c r="N7" s="59" t="s">
        <v>18</v>
      </c>
    </row>
    <row r="8" spans="1:15" ht="15.75">
      <c r="D8" s="58"/>
      <c r="E8" s="71" t="s">
        <v>33</v>
      </c>
      <c r="F8" s="75">
        <f t="shared" si="0"/>
        <v>1E-3</v>
      </c>
      <c r="G8" s="59" t="s">
        <v>19</v>
      </c>
      <c r="H8" s="101">
        <f>0.001*B5</f>
        <v>1E-3</v>
      </c>
      <c r="I8" s="58"/>
      <c r="J8" s="63" t="s">
        <v>7</v>
      </c>
      <c r="K8" s="172">
        <f t="shared" si="1"/>
        <v>0</v>
      </c>
      <c r="L8" s="72" t="s">
        <v>23</v>
      </c>
      <c r="M8" s="173">
        <f t="shared" si="2"/>
        <v>0</v>
      </c>
      <c r="N8" s="59" t="s">
        <v>18</v>
      </c>
    </row>
    <row r="9" spans="1:15" ht="14.25">
      <c r="D9" s="58"/>
      <c r="E9" s="71" t="s">
        <v>58</v>
      </c>
      <c r="F9" s="75">
        <v>1E-3</v>
      </c>
      <c r="G9" s="59" t="s">
        <v>43</v>
      </c>
      <c r="H9" s="101">
        <v>1E-3</v>
      </c>
      <c r="I9" s="58"/>
      <c r="J9" s="62" t="s">
        <v>8</v>
      </c>
      <c r="K9" s="172">
        <f t="shared" si="1"/>
        <v>0</v>
      </c>
      <c r="L9" s="72" t="s">
        <v>23</v>
      </c>
      <c r="M9" s="173">
        <f t="shared" si="2"/>
        <v>0</v>
      </c>
      <c r="N9" s="59" t="s">
        <v>18</v>
      </c>
    </row>
    <row r="10" spans="1:15" ht="15.75">
      <c r="A10" s="283" t="s">
        <v>102</v>
      </c>
      <c r="B10" s="293"/>
      <c r="C10" s="293"/>
      <c r="D10" s="58"/>
      <c r="E10" s="71" t="s">
        <v>94</v>
      </c>
      <c r="F10" s="75">
        <v>1</v>
      </c>
      <c r="G10" s="59" t="s">
        <v>2</v>
      </c>
      <c r="H10" s="101">
        <v>1</v>
      </c>
      <c r="I10" s="58"/>
      <c r="J10" s="62" t="s">
        <v>11</v>
      </c>
      <c r="K10" s="172">
        <f t="shared" si="1"/>
        <v>0</v>
      </c>
      <c r="L10" s="72" t="s">
        <v>23</v>
      </c>
      <c r="M10" s="173">
        <f t="shared" si="2"/>
        <v>0</v>
      </c>
      <c r="N10" s="59" t="s">
        <v>18</v>
      </c>
    </row>
    <row r="11" spans="1:15" ht="14.25">
      <c r="A11" s="60" t="s">
        <v>17</v>
      </c>
      <c r="B11" s="67">
        <v>1</v>
      </c>
      <c r="C11" s="59" t="s">
        <v>18</v>
      </c>
      <c r="D11" s="58"/>
      <c r="I11" s="58"/>
      <c r="J11" s="63" t="s">
        <v>70</v>
      </c>
      <c r="K11" s="172">
        <f t="shared" si="1"/>
        <v>0</v>
      </c>
      <c r="L11" s="72" t="s">
        <v>23</v>
      </c>
      <c r="M11" s="173">
        <f t="shared" si="2"/>
        <v>0</v>
      </c>
      <c r="N11" s="59" t="s">
        <v>18</v>
      </c>
    </row>
    <row r="12" spans="1:15" ht="14.25">
      <c r="A12" s="62" t="s">
        <v>6</v>
      </c>
      <c r="B12" s="67">
        <v>1</v>
      </c>
      <c r="C12" s="59" t="s">
        <v>18</v>
      </c>
      <c r="D12" s="58"/>
      <c r="E12" s="55"/>
      <c r="F12" s="184"/>
      <c r="G12" s="184"/>
      <c r="H12" s="184"/>
      <c r="I12" s="58"/>
      <c r="J12" s="63" t="s">
        <v>16</v>
      </c>
      <c r="K12" s="172">
        <f t="shared" si="1"/>
        <v>0</v>
      </c>
      <c r="L12" s="72" t="s">
        <v>23</v>
      </c>
      <c r="M12" s="173">
        <f t="shared" si="2"/>
        <v>0</v>
      </c>
      <c r="N12" s="59" t="s">
        <v>18</v>
      </c>
    </row>
    <row r="13" spans="1:15" ht="14.25">
      <c r="A13" s="62" t="s">
        <v>13</v>
      </c>
      <c r="B13" s="67">
        <v>1</v>
      </c>
      <c r="C13" s="59" t="s">
        <v>18</v>
      </c>
      <c r="D13" s="58"/>
      <c r="I13" s="58"/>
      <c r="J13" s="60" t="s">
        <v>71</v>
      </c>
      <c r="K13" s="172">
        <f t="shared" si="1"/>
        <v>0</v>
      </c>
      <c r="L13" s="72" t="s">
        <v>23</v>
      </c>
      <c r="M13" s="173">
        <f t="shared" si="2"/>
        <v>0</v>
      </c>
      <c r="N13" s="59" t="s">
        <v>18</v>
      </c>
    </row>
    <row r="14" spans="1:15" ht="14.25">
      <c r="A14" s="60" t="s">
        <v>69</v>
      </c>
      <c r="B14" s="67">
        <v>1</v>
      </c>
      <c r="C14" s="59" t="s">
        <v>18</v>
      </c>
      <c r="D14" s="58"/>
      <c r="I14" s="58"/>
      <c r="J14" s="62" t="s">
        <v>12</v>
      </c>
      <c r="K14" s="172">
        <f t="shared" si="1"/>
        <v>0</v>
      </c>
      <c r="L14" s="72" t="s">
        <v>23</v>
      </c>
      <c r="M14" s="173">
        <f t="shared" si="2"/>
        <v>0</v>
      </c>
      <c r="N14" s="59" t="s">
        <v>18</v>
      </c>
    </row>
    <row r="15" spans="1:15" ht="14.25">
      <c r="A15" s="62" t="s">
        <v>9</v>
      </c>
      <c r="B15" s="67">
        <v>1</v>
      </c>
      <c r="C15" s="59" t="s">
        <v>18</v>
      </c>
      <c r="D15" s="58"/>
      <c r="I15" s="58"/>
      <c r="J15" s="62" t="s">
        <v>10</v>
      </c>
      <c r="K15" s="172">
        <f t="shared" si="1"/>
        <v>0</v>
      </c>
      <c r="L15" s="72" t="s">
        <v>23</v>
      </c>
      <c r="M15" s="173">
        <f t="shared" si="2"/>
        <v>0</v>
      </c>
      <c r="N15" s="59" t="s">
        <v>18</v>
      </c>
    </row>
    <row r="16" spans="1:15" ht="14.25">
      <c r="A16" s="63" t="s">
        <v>7</v>
      </c>
      <c r="B16" s="67">
        <v>0</v>
      </c>
      <c r="C16" s="59" t="s">
        <v>18</v>
      </c>
      <c r="D16" s="58"/>
      <c r="I16" s="58"/>
      <c r="J16" s="63" t="s">
        <v>72</v>
      </c>
      <c r="K16" s="172">
        <f t="shared" si="1"/>
        <v>0</v>
      </c>
      <c r="L16" s="72" t="s">
        <v>23</v>
      </c>
      <c r="M16" s="173">
        <f t="shared" si="2"/>
        <v>0</v>
      </c>
      <c r="N16" s="59" t="s">
        <v>18</v>
      </c>
    </row>
    <row r="17" spans="1:15" ht="14.25">
      <c r="A17" s="62" t="s">
        <v>8</v>
      </c>
      <c r="B17" s="67">
        <v>0</v>
      </c>
      <c r="C17" s="59" t="s">
        <v>18</v>
      </c>
      <c r="D17" s="58"/>
      <c r="I17" s="58"/>
      <c r="J17" s="63" t="s">
        <v>73</v>
      </c>
      <c r="K17" s="172">
        <f t="shared" si="1"/>
        <v>0</v>
      </c>
      <c r="L17" s="72" t="s">
        <v>23</v>
      </c>
      <c r="M17" s="173">
        <f t="shared" si="2"/>
        <v>0</v>
      </c>
      <c r="N17" s="59" t="s">
        <v>18</v>
      </c>
    </row>
    <row r="18" spans="1:15" ht="14.25">
      <c r="A18" s="62" t="s">
        <v>11</v>
      </c>
      <c r="B18" s="67">
        <v>0</v>
      </c>
      <c r="C18" s="59" t="s">
        <v>18</v>
      </c>
      <c r="D18" s="58"/>
      <c r="I18" s="58"/>
      <c r="J18" s="64" t="s">
        <v>74</v>
      </c>
      <c r="K18" s="172">
        <f t="shared" si="1"/>
        <v>0</v>
      </c>
      <c r="L18" s="72" t="s">
        <v>23</v>
      </c>
      <c r="M18" s="173">
        <f t="shared" si="2"/>
        <v>0</v>
      </c>
      <c r="N18" s="59" t="s">
        <v>18</v>
      </c>
    </row>
    <row r="19" spans="1:15" ht="14.25">
      <c r="A19" s="63" t="s">
        <v>70</v>
      </c>
      <c r="B19" s="67">
        <v>0</v>
      </c>
      <c r="C19" s="59" t="s">
        <v>18</v>
      </c>
      <c r="D19" s="58"/>
      <c r="I19" s="58"/>
      <c r="J19" s="63" t="s">
        <v>75</v>
      </c>
      <c r="K19" s="172">
        <f t="shared" si="1"/>
        <v>0</v>
      </c>
      <c r="L19" s="72" t="s">
        <v>23</v>
      </c>
      <c r="M19" s="173">
        <f t="shared" si="2"/>
        <v>0</v>
      </c>
      <c r="N19" s="59" t="s">
        <v>18</v>
      </c>
    </row>
    <row r="20" spans="1:15" ht="14.25">
      <c r="A20" s="63" t="s">
        <v>16</v>
      </c>
      <c r="B20" s="67">
        <v>0</v>
      </c>
      <c r="C20" s="59" t="s">
        <v>18</v>
      </c>
      <c r="D20" s="58"/>
      <c r="I20" s="58"/>
      <c r="J20" s="64" t="s">
        <v>78</v>
      </c>
      <c r="K20" s="172">
        <f t="shared" si="1"/>
        <v>0</v>
      </c>
      <c r="L20" s="72" t="s">
        <v>23</v>
      </c>
      <c r="M20" s="173">
        <f t="shared" si="2"/>
        <v>0</v>
      </c>
      <c r="N20" s="59" t="s">
        <v>18</v>
      </c>
    </row>
    <row r="21" spans="1:15" ht="14.25">
      <c r="A21" s="60" t="s">
        <v>71</v>
      </c>
      <c r="B21" s="67">
        <v>0</v>
      </c>
      <c r="C21" s="59" t="s">
        <v>18</v>
      </c>
      <c r="D21" s="58"/>
      <c r="I21" s="58"/>
      <c r="J21" s="65" t="s">
        <v>14</v>
      </c>
      <c r="K21" s="172">
        <f t="shared" si="1"/>
        <v>0</v>
      </c>
      <c r="L21" s="72" t="s">
        <v>23</v>
      </c>
      <c r="M21" s="173">
        <f t="shared" si="2"/>
        <v>0</v>
      </c>
      <c r="N21" s="59" t="s">
        <v>18</v>
      </c>
    </row>
    <row r="22" spans="1:15" ht="14.25">
      <c r="A22" s="62" t="s">
        <v>12</v>
      </c>
      <c r="B22" s="67">
        <v>0</v>
      </c>
      <c r="C22" s="59" t="s">
        <v>18</v>
      </c>
      <c r="D22" s="58"/>
      <c r="I22" s="58"/>
      <c r="J22" s="65" t="s">
        <v>79</v>
      </c>
      <c r="K22" s="172">
        <f t="shared" si="1"/>
        <v>0</v>
      </c>
      <c r="L22" s="72" t="s">
        <v>23</v>
      </c>
      <c r="M22" s="173">
        <f t="shared" si="2"/>
        <v>0</v>
      </c>
      <c r="N22" s="59" t="s">
        <v>18</v>
      </c>
    </row>
    <row r="23" spans="1:15" ht="14.25">
      <c r="A23" s="62" t="s">
        <v>10</v>
      </c>
      <c r="B23" s="67">
        <v>0</v>
      </c>
      <c r="C23" s="59" t="s">
        <v>18</v>
      </c>
      <c r="D23" s="58"/>
      <c r="I23" s="58"/>
      <c r="J23" s="65" t="s">
        <v>15</v>
      </c>
      <c r="K23" s="172">
        <f t="shared" si="1"/>
        <v>0</v>
      </c>
      <c r="L23" s="72" t="s">
        <v>23</v>
      </c>
      <c r="M23" s="173">
        <f t="shared" si="2"/>
        <v>0</v>
      </c>
      <c r="N23" s="59" t="s">
        <v>18</v>
      </c>
    </row>
    <row r="24" spans="1:15" ht="14.25">
      <c r="A24" s="63" t="s">
        <v>72</v>
      </c>
      <c r="B24" s="67">
        <v>0</v>
      </c>
      <c r="C24" s="59" t="s">
        <v>18</v>
      </c>
      <c r="D24" s="58"/>
      <c r="I24" s="58"/>
      <c r="J24" s="65" t="s">
        <v>80</v>
      </c>
      <c r="K24" s="172">
        <f t="shared" si="1"/>
        <v>0</v>
      </c>
      <c r="L24" s="72" t="s">
        <v>23</v>
      </c>
      <c r="M24" s="173">
        <f t="shared" si="2"/>
        <v>0</v>
      </c>
      <c r="N24" s="59" t="s">
        <v>18</v>
      </c>
    </row>
    <row r="25" spans="1:15" ht="14.25">
      <c r="A25" s="63" t="s">
        <v>73</v>
      </c>
      <c r="B25" s="67">
        <v>0</v>
      </c>
      <c r="C25" s="59" t="s">
        <v>18</v>
      </c>
      <c r="D25" s="58"/>
      <c r="I25" s="58"/>
      <c r="J25" s="65" t="s">
        <v>59</v>
      </c>
      <c r="K25" s="172" t="e">
        <f>IF(ABS(N60*P60*$B$3)&gt;K94,K94,(N60*P60*$B$3))</f>
        <v>#DIV/0!</v>
      </c>
      <c r="L25" s="72" t="s">
        <v>23</v>
      </c>
      <c r="M25" s="173" t="e">
        <f>($B$5*B33-N60*P60*$B$3-$F$8*P60)/($B$5-$F$8)</f>
        <v>#DIV/0!</v>
      </c>
      <c r="N25" s="59" t="s">
        <v>18</v>
      </c>
    </row>
    <row r="26" spans="1:15" ht="14.25">
      <c r="A26" s="64" t="s">
        <v>74</v>
      </c>
      <c r="B26" s="67">
        <v>0</v>
      </c>
      <c r="C26" s="59" t="s">
        <v>18</v>
      </c>
      <c r="D26" s="58"/>
      <c r="I26" s="58"/>
      <c r="J26" s="65" t="s">
        <v>60</v>
      </c>
      <c r="K26" s="172" t="e">
        <f>IF(ABS(N61*P61*$B$3)&gt;K95,K95,(N61*P61*$B$3))</f>
        <v>#DIV/0!</v>
      </c>
      <c r="L26" s="72" t="s">
        <v>23</v>
      </c>
      <c r="M26" s="173" t="e">
        <f>($B$5*B34-N61*P61*$B$3-$F$8*P61)/($B$5-$F$8)</f>
        <v>#DIV/0!</v>
      </c>
      <c r="N26" s="59" t="s">
        <v>18</v>
      </c>
    </row>
    <row r="27" spans="1:15" ht="14.25">
      <c r="A27" s="63" t="s">
        <v>75</v>
      </c>
      <c r="B27" s="67">
        <v>0</v>
      </c>
      <c r="C27" s="59" t="s">
        <v>18</v>
      </c>
      <c r="D27" s="58"/>
      <c r="I27" s="58"/>
      <c r="J27" s="65" t="s">
        <v>61</v>
      </c>
      <c r="K27" s="172" t="e">
        <f>IF(ABS(N62*P62*$B$3)&gt;K96,K96,(N62*P62*$B$3))</f>
        <v>#DIV/0!</v>
      </c>
      <c r="L27" s="72" t="s">
        <v>23</v>
      </c>
      <c r="M27" s="173" t="e">
        <f>($B$5*B35-N62*P62*$B$3-$F$8*P62)/($B$5-$F$8)</f>
        <v>#DIV/0!</v>
      </c>
      <c r="N27" s="59" t="s">
        <v>18</v>
      </c>
    </row>
    <row r="28" spans="1:15" ht="14.25">
      <c r="A28" s="64" t="s">
        <v>78</v>
      </c>
      <c r="B28" s="67">
        <v>0</v>
      </c>
      <c r="C28" s="59" t="s">
        <v>18</v>
      </c>
      <c r="D28" s="58"/>
      <c r="I28" s="58"/>
      <c r="J28" s="65" t="s">
        <v>256</v>
      </c>
      <c r="K28" s="172">
        <f>IF(ABS(N63*P63*$B$3)&gt;K97,K97,(N63*P63*$B$3))</f>
        <v>0</v>
      </c>
      <c r="L28" s="72" t="s">
        <v>23</v>
      </c>
      <c r="M28" s="173">
        <f>($B$5*B36-N63*P63*$B$3-$F$8*P63)/($B$5-$F$8)</f>
        <v>0</v>
      </c>
      <c r="N28" s="59" t="s">
        <v>18</v>
      </c>
    </row>
    <row r="29" spans="1:15" ht="14.25">
      <c r="A29" s="65" t="s">
        <v>14</v>
      </c>
      <c r="B29" s="67">
        <v>0</v>
      </c>
      <c r="C29" s="59" t="s">
        <v>18</v>
      </c>
      <c r="D29" s="58"/>
      <c r="H29" s="55"/>
      <c r="I29" s="58"/>
      <c r="O29" s="55"/>
    </row>
    <row r="30" spans="1:15" ht="14.25">
      <c r="A30" s="65" t="s">
        <v>79</v>
      </c>
      <c r="B30" s="67">
        <v>0</v>
      </c>
      <c r="C30" s="59" t="s">
        <v>18</v>
      </c>
      <c r="D30" s="58"/>
      <c r="H30" s="55"/>
      <c r="I30" s="58"/>
      <c r="J30" s="212"/>
      <c r="K30" s="89"/>
      <c r="L30" s="89"/>
      <c r="M30" s="231"/>
      <c r="N30" s="185"/>
      <c r="O30" s="55"/>
    </row>
    <row r="31" spans="1:15" ht="14.25">
      <c r="A31" s="65" t="s">
        <v>15</v>
      </c>
      <c r="B31" s="67">
        <v>0</v>
      </c>
      <c r="C31" s="59" t="s">
        <v>18</v>
      </c>
      <c r="D31" s="58"/>
      <c r="H31" s="55"/>
      <c r="I31" s="55"/>
      <c r="J31" s="55"/>
      <c r="K31" s="55"/>
      <c r="L31" s="80"/>
      <c r="M31" s="55"/>
      <c r="N31" s="79"/>
      <c r="O31" s="55"/>
    </row>
    <row r="32" spans="1:15" ht="14.25">
      <c r="A32" s="65" t="s">
        <v>80</v>
      </c>
      <c r="B32" s="67">
        <v>0</v>
      </c>
      <c r="C32" s="59" t="s">
        <v>18</v>
      </c>
      <c r="D32" s="58"/>
      <c r="H32" s="55"/>
      <c r="I32" s="55"/>
      <c r="J32" s="55"/>
      <c r="K32" s="55"/>
      <c r="L32" s="80"/>
      <c r="M32" s="55"/>
      <c r="N32" s="79"/>
      <c r="O32" s="55"/>
    </row>
    <row r="33" spans="1:16" ht="14.25">
      <c r="A33" s="65" t="s">
        <v>59</v>
      </c>
      <c r="B33" s="67">
        <v>0</v>
      </c>
      <c r="C33" s="59" t="s">
        <v>18</v>
      </c>
      <c r="D33" s="58"/>
      <c r="H33" s="55"/>
      <c r="I33" s="55"/>
      <c r="J33" s="55"/>
      <c r="K33" s="55"/>
      <c r="L33" s="80"/>
      <c r="M33" s="55"/>
      <c r="N33" s="79"/>
      <c r="O33" s="55"/>
    </row>
    <row r="34" spans="1:16" ht="15.75">
      <c r="A34" s="65" t="s">
        <v>60</v>
      </c>
      <c r="B34" s="67">
        <v>0</v>
      </c>
      <c r="C34" s="59" t="s">
        <v>18</v>
      </c>
      <c r="D34" s="58"/>
      <c r="H34" s="55"/>
      <c r="I34" s="55"/>
      <c r="J34" s="56" t="s">
        <v>56</v>
      </c>
      <c r="K34" s="274">
        <f>IF(B6&lt;minWindSpd,minWindSpd,B6)</f>
        <v>4.4130000000000003</v>
      </c>
      <c r="L34" s="59" t="s">
        <v>0</v>
      </c>
      <c r="M34" s="55"/>
      <c r="N34" s="79"/>
      <c r="O34" s="55"/>
    </row>
    <row r="35" spans="1:16" ht="14.25">
      <c r="A35" s="65" t="s">
        <v>61</v>
      </c>
      <c r="B35" s="67">
        <v>0</v>
      </c>
      <c r="C35" s="59" t="s">
        <v>18</v>
      </c>
      <c r="D35" s="58"/>
      <c r="H35" s="55"/>
      <c r="I35" s="55"/>
      <c r="J35" s="273" t="str">
        <f>IF(B6&lt;minWindSpd,CONCATENATE("Windspeed has been set at ",TEXT(minWindSpd,"0.##")," m/s, which is the minimum windspeed for the mass transfer calculations"),"")</f>
        <v/>
      </c>
      <c r="K35" s="89"/>
      <c r="L35" s="89"/>
      <c r="M35" s="55"/>
      <c r="N35" s="79"/>
      <c r="O35" s="55"/>
    </row>
    <row r="36" spans="1:16" ht="14.25">
      <c r="A36" s="65" t="s">
        <v>256</v>
      </c>
      <c r="B36" s="67">
        <v>0</v>
      </c>
      <c r="C36" s="59" t="s">
        <v>18</v>
      </c>
      <c r="D36" s="58"/>
      <c r="H36" s="55"/>
      <c r="I36" s="55"/>
      <c r="J36" s="211"/>
      <c r="K36" s="89"/>
      <c r="L36" s="89"/>
      <c r="M36" s="55"/>
      <c r="N36" s="79"/>
      <c r="O36" s="55"/>
    </row>
    <row r="37" spans="1:16" ht="15">
      <c r="D37" s="58"/>
      <c r="E37" s="55"/>
      <c r="H37" s="55"/>
      <c r="I37" s="55"/>
      <c r="J37" s="83" t="s">
        <v>21</v>
      </c>
      <c r="K37" s="83" t="s">
        <v>103</v>
      </c>
      <c r="L37" s="83" t="s">
        <v>113</v>
      </c>
      <c r="M37" s="118" t="s">
        <v>114</v>
      </c>
      <c r="N37" s="83" t="s">
        <v>115</v>
      </c>
      <c r="O37" s="83" t="s">
        <v>116</v>
      </c>
      <c r="P37" s="94" t="s">
        <v>117</v>
      </c>
    </row>
    <row r="38" spans="1:16">
      <c r="A38" s="212"/>
      <c r="B38" s="214"/>
      <c r="C38" s="185"/>
      <c r="D38" s="58"/>
      <c r="E38" s="55"/>
      <c r="J38" s="60" t="s">
        <v>17</v>
      </c>
      <c r="K38" s="105">
        <f>$F$3/($F$4*IF(ABS('Chemical Properties'!G41)&gt;0,'Chemical Properties'!G41,'Chemical Properties'!G4))</f>
        <v>1.0055555555555558</v>
      </c>
      <c r="L38" s="105">
        <f t="shared" ref="L38:L63" si="3">4.82*10^(-3)*$K$34^(0.78)*K38^(-0.67)*((2*($B$3/3.14)^(0.5))^(-0.11))</f>
        <v>1.1271679104395306E-2</v>
      </c>
      <c r="M38" s="258">
        <f>(IF(ABS('Chemical Properties'!D41)&gt;0,'Chemical Properties'!D41,'Chemical Properties'!D4)/760*$F$4*$F$5)/($F$7*$F$6*$B$4)</f>
        <v>2.1028170125463579E-3</v>
      </c>
      <c r="N38" s="105">
        <f>L38*M38</f>
        <v>2.3702278580685746E-5</v>
      </c>
      <c r="O38" s="105">
        <f>IF($F$10&gt;=1,10^IF(ABS('Chemical Properties'!H41)&gt;0,'Chemical Properties'!H41,'Chemical Properties'!H4)*'Oil-Water Separators'!B11/(1-'Oil-Water Separators'!$F$9+'Oil-Water Separators'!$F$9*10^IF(ABS('Chemical Properties'!H41)&gt;0,'Chemical Properties'!H41,'Chemical Properties'!H4)),'Oil-Water Separators'!B11/'Oil-Water Separators'!$F$9)</f>
        <v>0.19514155195763483</v>
      </c>
      <c r="P38" s="105">
        <f t="shared" ref="P38:P59" si="4">($F$8*O38)/(N38*$B$3+$F$8)</f>
        <v>3.3994087160896858E-2</v>
      </c>
    </row>
    <row r="39" spans="1:16">
      <c r="A39" s="55"/>
      <c r="B39" s="80"/>
      <c r="C39" s="79"/>
      <c r="D39" s="55"/>
      <c r="E39" s="55"/>
      <c r="J39" s="62" t="s">
        <v>6</v>
      </c>
      <c r="K39" s="105">
        <f>$F$3/($F$4*IF(ABS('Chemical Properties'!G42)&gt;0,'Chemical Properties'!G42,'Chemical Properties'!G5))</f>
        <v>1.714015151515152</v>
      </c>
      <c r="L39" s="105">
        <f t="shared" si="3"/>
        <v>7.8851664071886377E-3</v>
      </c>
      <c r="M39" s="258">
        <f>(IF(ABS('Chemical Properties'!D42)&gt;0,'Chemical Properties'!D42,'Chemical Properties'!D5)/760*$F$4*$F$5)/($F$7*$F$6*$B$4)</f>
        <v>1.5854572713643177E-3</v>
      </c>
      <c r="N39" s="105">
        <f t="shared" ref="N39:N59" si="5">L39*M39</f>
        <v>1.2501594416194878E-5</v>
      </c>
      <c r="O39" s="105">
        <f>IF($F$10&gt;=1,10^IF(ABS('Chemical Properties'!H42)&gt;0,'Chemical Properties'!H42,'Chemical Properties'!H5)*'Oil-Water Separators'!B12/(1-'Oil-Water Separators'!$F$9+'Oil-Water Separators'!$F$9*10^IF(ABS('Chemical Properties'!H42)&gt;0,'Chemical Properties'!H42,'Chemical Properties'!H5)),'Oil-Water Separators'!B12/'Oil-Water Separators'!$F$9)</f>
        <v>118.96704280271285</v>
      </c>
      <c r="P39" s="105">
        <f t="shared" si="4"/>
        <v>33.987487075071343</v>
      </c>
    </row>
    <row r="40" spans="1:16">
      <c r="A40" s="55"/>
      <c r="B40" s="80"/>
      <c r="C40" s="79"/>
      <c r="D40" s="55"/>
      <c r="E40" s="55"/>
      <c r="J40" s="62" t="s">
        <v>13</v>
      </c>
      <c r="K40" s="105">
        <f>$F$3/($F$4*IF(ABS('Chemical Properties'!G43)&gt;0,'Chemical Properties'!G43,'Chemical Properties'!G6))</f>
        <v>1.4503205128205132</v>
      </c>
      <c r="L40" s="105">
        <f t="shared" si="3"/>
        <v>8.819009491745626E-3</v>
      </c>
      <c r="M40" s="258">
        <f>(IF(ABS('Chemical Properties'!D43)&gt;0,'Chemical Properties'!D43,'Chemical Properties'!D6)/760*$F$4*$F$5)/($F$7*$F$6*$B$4)</f>
        <v>5.991359583366212E-3</v>
      </c>
      <c r="N40" s="105">
        <f t="shared" si="5"/>
        <v>5.2837857034167744E-5</v>
      </c>
      <c r="O40" s="105">
        <f>IF($F$10&gt;=1,10^IF(ABS('Chemical Properties'!H43)&gt;0,'Chemical Properties'!H43,'Chemical Properties'!H6)*'Oil-Water Separators'!B13/(1-'Oil-Water Separators'!$F$9+'Oil-Water Separators'!$F$9*10^IF(ABS('Chemical Properties'!H43)&gt;0,'Chemical Properties'!H43,'Chemical Properties'!H6)),'Oil-Water Separators'!B13/'Oil-Water Separators'!$F$9)</f>
        <v>90.991810737033674</v>
      </c>
      <c r="P40" s="105">
        <f t="shared" si="4"/>
        <v>7.8661118688474421</v>
      </c>
    </row>
    <row r="41" spans="1:16">
      <c r="A41" s="55"/>
      <c r="B41" s="55"/>
      <c r="C41" s="79"/>
      <c r="D41" s="55"/>
      <c r="E41" s="55"/>
      <c r="J41" s="60" t="s">
        <v>69</v>
      </c>
      <c r="K41" s="105">
        <f>$F$3/($F$4*IF(ABS('Chemical Properties'!G44)&gt;0,'Chemical Properties'!G44,'Chemical Properties'!G7))</f>
        <v>1.866749174917492</v>
      </c>
      <c r="L41" s="105">
        <f t="shared" si="3"/>
        <v>7.4468582025688963E-3</v>
      </c>
      <c r="M41" s="258">
        <f>(IF(ABS('Chemical Properties'!D44)&gt;0,'Chemical Properties'!D44,'Chemical Properties'!D7)/760*$F$4*$F$5)/($F$7*$F$6*$B$4)</f>
        <v>1.590463978537047E-3</v>
      </c>
      <c r="N41" s="105">
        <f t="shared" si="5"/>
        <v>1.184395972445897E-5</v>
      </c>
      <c r="O41" s="105">
        <f>IF($F$10&gt;=1,10^IF(ABS('Chemical Properties'!H44)&gt;0,'Chemical Properties'!H44,'Chemical Properties'!H7)*'Oil-Water Separators'!B14/(1-'Oil-Water Separators'!$F$9+'Oil-Water Separators'!$F$9*10^IF(ABS('Chemical Properties'!H44)&gt;0,'Chemical Properties'!H44,'Chemical Properties'!H7)),'Oil-Water Separators'!B14/'Oil-Water Separators'!$F$9)</f>
        <v>1.9037369589296018</v>
      </c>
      <c r="P41" s="105">
        <f t="shared" si="4"/>
        <v>0.56510968622336522</v>
      </c>
    </row>
    <row r="42" spans="1:16">
      <c r="A42" s="55"/>
      <c r="B42" s="55"/>
      <c r="C42" s="79"/>
      <c r="D42" s="55"/>
      <c r="E42" s="55"/>
      <c r="J42" s="62" t="s">
        <v>9</v>
      </c>
      <c r="K42" s="105">
        <f>$F$3/($F$4*IF(ABS('Chemical Properties'!G45)&gt;0,'Chemical Properties'!G45,'Chemical Properties'!G8))</f>
        <v>2.5564971751412435</v>
      </c>
      <c r="L42" s="105">
        <f t="shared" si="3"/>
        <v>6.0322359491633316E-3</v>
      </c>
      <c r="M42" s="258">
        <f>(IF(ABS('Chemical Properties'!D45)&gt;0,'Chemical Properties'!D45,'Chemical Properties'!D8)/760*$F$4*$F$5)/($F$7*$F$6*$B$4)</f>
        <v>1.4185670322733372E-6</v>
      </c>
      <c r="N42" s="105">
        <f t="shared" si="5"/>
        <v>8.5571310483771657E-9</v>
      </c>
      <c r="O42" s="105">
        <f>IF($F$10&gt;=1,10^IF(ABS('Chemical Properties'!H45)&gt;0,'Chemical Properties'!H45,'Chemical Properties'!H8)*'Oil-Water Separators'!B15/(1-'Oil-Water Separators'!$F$9+'Oil-Water Separators'!$F$9*10^IF(ABS('Chemical Properties'!H45)&gt;0,'Chemical Properties'!H45,'Chemical Properties'!H8)),'Oil-Water Separators'!B15/'Oil-Water Separators'!$F$9)</f>
        <v>696.34036823349459</v>
      </c>
      <c r="P42" s="105">
        <f t="shared" si="4"/>
        <v>695.15066915862326</v>
      </c>
    </row>
    <row r="43" spans="1:16">
      <c r="A43" s="55"/>
      <c r="B43" s="55"/>
      <c r="C43" s="79"/>
      <c r="D43" s="55"/>
      <c r="E43" s="55"/>
      <c r="J43" s="63" t="s">
        <v>7</v>
      </c>
      <c r="K43" s="105">
        <f>$F$3/($F$4*IF(ABS('Chemical Properties'!G46)&gt;0,'Chemical Properties'!G46,'Chemical Properties'!G9))</f>
        <v>1.7538759689922483</v>
      </c>
      <c r="L43" s="105">
        <f t="shared" si="3"/>
        <v>7.7646419691796134E-3</v>
      </c>
      <c r="M43" s="258">
        <f>(IF(ABS('Chemical Properties'!D46)&gt;0,'Chemical Properties'!D46,'Chemical Properties'!D9)/760*$F$4*$F$5)/($F$7*$F$6*$B$4)</f>
        <v>7.5100607590941382E-5</v>
      </c>
      <c r="N43" s="105">
        <f t="shared" si="5"/>
        <v>5.8312932961151253E-7</v>
      </c>
      <c r="O43" s="105">
        <f>IF($F$10&gt;=1,10^IF(ABS('Chemical Properties'!H46)&gt;0,'Chemical Properties'!H46,'Chemical Properties'!H9)*'Oil-Water Separators'!B16/(1-'Oil-Water Separators'!$F$9+'Oil-Water Separators'!$F$9*10^IF(ABS('Chemical Properties'!H46)&gt;0,'Chemical Properties'!H46,'Chemical Properties'!H9)),'Oil-Water Separators'!B16/'Oil-Water Separators'!$F$9)</f>
        <v>0</v>
      </c>
      <c r="P43" s="105">
        <f t="shared" si="4"/>
        <v>0</v>
      </c>
    </row>
    <row r="44" spans="1:16">
      <c r="A44" s="55"/>
      <c r="B44" s="55"/>
      <c r="C44" s="79"/>
      <c r="D44" s="55"/>
      <c r="E44" s="55"/>
      <c r="J44" s="62" t="s">
        <v>8</v>
      </c>
      <c r="K44" s="105">
        <f>$F$3/($F$4*IF(ABS('Chemical Properties'!G47)&gt;0,'Chemical Properties'!G47,'Chemical Properties'!G10))</f>
        <v>2.0111111111111115</v>
      </c>
      <c r="L44" s="105">
        <f t="shared" si="3"/>
        <v>7.0843256937715617E-3</v>
      </c>
      <c r="M44" s="258">
        <f>(IF(ABS('Chemical Properties'!D47)&gt;0,'Chemical Properties'!D47,'Chemical Properties'!D10)/760*$F$4*$F$5)/($F$7*$F$6*$B$4)</f>
        <v>1.6021462952734157E-4</v>
      </c>
      <c r="N44" s="105">
        <f t="shared" si="5"/>
        <v>1.1350126164786377E-6</v>
      </c>
      <c r="O44" s="105">
        <f>IF($F$10&gt;=1,10^IF(ABS('Chemical Properties'!H47)&gt;0,'Chemical Properties'!H47,'Chemical Properties'!H10)*'Oil-Water Separators'!B17/(1-'Oil-Water Separators'!$F$9+'Oil-Water Separators'!$F$9*10^IF(ABS('Chemical Properties'!H47)&gt;0,'Chemical Properties'!H47,'Chemical Properties'!H10)),'Oil-Water Separators'!B17/'Oil-Water Separators'!$F$9)</f>
        <v>0</v>
      </c>
      <c r="P44" s="105">
        <f t="shared" si="4"/>
        <v>0</v>
      </c>
    </row>
    <row r="45" spans="1:16">
      <c r="A45" s="55"/>
      <c r="B45" s="55"/>
      <c r="C45" s="79"/>
      <c r="J45" s="62" t="s">
        <v>11</v>
      </c>
      <c r="K45" s="105">
        <f>$F$3/($F$4*IF(ABS('Chemical Properties'!G48)&gt;0,'Chemical Properties'!G48,'Chemical Properties'!G11))</f>
        <v>2.1244131455399065</v>
      </c>
      <c r="L45" s="105">
        <f t="shared" si="3"/>
        <v>6.8288970631828422E-3</v>
      </c>
      <c r="M45" s="258">
        <f>(IF(ABS('Chemical Properties'!D48)&gt;0,'Chemical Properties'!D48,'Chemical Properties'!D11)/760*$F$4*$F$5)/($F$7*$F$6*$B$4)</f>
        <v>1.0213682632368027E-4</v>
      </c>
      <c r="N45" s="105">
        <f t="shared" si="5"/>
        <v>6.9748187332459625E-7</v>
      </c>
      <c r="O45" s="105">
        <f>IF($F$10&gt;=1,10^IF(ABS('Chemical Properties'!H48)&gt;0,'Chemical Properties'!H48,'Chemical Properties'!H11)*'Oil-Water Separators'!B18/(1-'Oil-Water Separators'!$F$9+'Oil-Water Separators'!$F$9*10^IF(ABS('Chemical Properties'!H48)&gt;0,'Chemical Properties'!H48,'Chemical Properties'!H11)),'Oil-Water Separators'!B18/'Oil-Water Separators'!$F$9)</f>
        <v>0</v>
      </c>
      <c r="P45" s="105">
        <f t="shared" si="4"/>
        <v>0</v>
      </c>
    </row>
    <row r="46" spans="1:16">
      <c r="A46" s="55"/>
      <c r="B46" s="55"/>
      <c r="C46" s="79"/>
      <c r="H46" s="55"/>
      <c r="I46" s="55"/>
      <c r="J46" s="63" t="s">
        <v>70</v>
      </c>
      <c r="K46" s="105">
        <f>$F$3/($F$4*IF(ABS('Chemical Properties'!G49)&gt;0,'Chemical Properties'!G49,'Chemical Properties'!G12))</f>
        <v>0.60575635876840694</v>
      </c>
      <c r="L46" s="105">
        <f t="shared" si="3"/>
        <v>1.5829275406294068E-2</v>
      </c>
      <c r="M46" s="258">
        <f>(IF(ABS('Chemical Properties'!D49)&gt;0,'Chemical Properties'!D49,'Chemical Properties'!D12)/760*$F$4*$F$5)/($F$7*$F$6*$B$4)</f>
        <v>3.5213840448196948E-2</v>
      </c>
      <c r="N46" s="105">
        <f t="shared" si="5"/>
        <v>5.5740957856780719E-4</v>
      </c>
      <c r="O46" s="105">
        <f>IF($F$10&gt;=1,10^IF(ABS('Chemical Properties'!H49)&gt;0,'Chemical Properties'!H49,'Chemical Properties'!H12)*'Oil-Water Separators'!B19/(1-'Oil-Water Separators'!$F$9+'Oil-Water Separators'!$F$9*10^IF(ABS('Chemical Properties'!H49)&gt;0,'Chemical Properties'!H49,'Chemical Properties'!H12)),'Oil-Water Separators'!B19/'Oil-Water Separators'!$F$9)</f>
        <v>0</v>
      </c>
      <c r="P46" s="105">
        <f t="shared" si="4"/>
        <v>0</v>
      </c>
    </row>
    <row r="47" spans="1:16">
      <c r="H47" s="55"/>
      <c r="I47" s="55"/>
      <c r="J47" s="63" t="s">
        <v>16</v>
      </c>
      <c r="K47" s="105">
        <f>$F$3/($F$4*IF(ABS('Chemical Properties'!G50)&gt;0,'Chemical Properties'!G50,'Chemical Properties'!G13))</f>
        <v>0.98829984034316398</v>
      </c>
      <c r="L47" s="105">
        <f t="shared" si="3"/>
        <v>1.1403160501020509E-2</v>
      </c>
      <c r="M47" s="258">
        <f>(IF(ABS('Chemical Properties'!D50)&gt;0,'Chemical Properties'!D50,'Chemical Properties'!D13)/760*$F$4*$F$5)/($F$7*$F$6*$B$4)</f>
        <v>2.1028170125463582E-6</v>
      </c>
      <c r="N47" s="105">
        <f t="shared" si="5"/>
        <v>2.3978759898342579E-8</v>
      </c>
      <c r="O47" s="105">
        <f>IF($F$10&gt;=1,10^IF(ABS('Chemical Properties'!H50)&gt;0,'Chemical Properties'!H50,'Chemical Properties'!H13)*'Oil-Water Separators'!B20/(1-'Oil-Water Separators'!$F$9+'Oil-Water Separators'!$F$9*10^IF(ABS('Chemical Properties'!H50)&gt;0,'Chemical Properties'!H50,'Chemical Properties'!H13)),'Oil-Water Separators'!B20/'Oil-Water Separators'!$F$9)</f>
        <v>0</v>
      </c>
      <c r="P47" s="105">
        <f t="shared" si="4"/>
        <v>0</v>
      </c>
    </row>
    <row r="48" spans="1:16">
      <c r="H48" s="55"/>
      <c r="I48" s="55"/>
      <c r="J48" s="60" t="s">
        <v>71</v>
      </c>
      <c r="K48" s="105">
        <f>$F$3/($F$4*IF(ABS('Chemical Properties'!G51)&gt;0,'Chemical Properties'!G51,'Chemical Properties'!G14))</f>
        <v>2.0111111111111115</v>
      </c>
      <c r="L48" s="105">
        <f t="shared" si="3"/>
        <v>7.0843256937715617E-3</v>
      </c>
      <c r="M48" s="258">
        <f>(IF(ABS('Chemical Properties'!D51)&gt;0,'Chemical Properties'!D51,'Chemical Properties'!D14)/760*$F$4*$F$5)/($F$7*$F$6*$B$4)</f>
        <v>3.3211157579105178E-4</v>
      </c>
      <c r="N48" s="105">
        <f t="shared" si="5"/>
        <v>2.3527865695755094E-6</v>
      </c>
      <c r="O48" s="105">
        <f>IF($F$10&gt;=1,10^IF(ABS('Chemical Properties'!H51)&gt;0,'Chemical Properties'!H51,'Chemical Properties'!H14)*'Oil-Water Separators'!B21/(1-'Oil-Water Separators'!$F$9+'Oil-Water Separators'!$F$9*10^IF(ABS('Chemical Properties'!H51)&gt;0,'Chemical Properties'!H51,'Chemical Properties'!H14)),'Oil-Water Separators'!B21/'Oil-Water Separators'!$F$9)</f>
        <v>0</v>
      </c>
      <c r="P48" s="105">
        <f t="shared" si="4"/>
        <v>0</v>
      </c>
    </row>
    <row r="49" spans="8:16">
      <c r="H49" s="55"/>
      <c r="I49" s="55"/>
      <c r="J49" s="62" t="s">
        <v>12</v>
      </c>
      <c r="K49" s="105">
        <f>$F$3/($F$4*IF(ABS('Chemical Properties'!G52)&gt;0,'Chemical Properties'!G52,'Chemical Properties'!G15))</f>
        <v>1.7337164750957856</v>
      </c>
      <c r="L49" s="105">
        <f t="shared" si="3"/>
        <v>7.8250184813944915E-3</v>
      </c>
      <c r="M49" s="258">
        <f>(IF(ABS('Chemical Properties'!D52)&gt;0,'Chemical Properties'!D52,'Chemical Properties'!D15)/760*$F$4*$F$5)/($F$7*$F$6*$B$4)</f>
        <v>4.7396827901838556E-4</v>
      </c>
      <c r="N49" s="105">
        <f t="shared" si="5"/>
        <v>3.7088105429136079E-6</v>
      </c>
      <c r="O49" s="105">
        <f>IF($F$10&gt;=1,10^IF(ABS('Chemical Properties'!H52)&gt;0,'Chemical Properties'!H52,'Chemical Properties'!H15)*'Oil-Water Separators'!B22/(1-'Oil-Water Separators'!$F$9+'Oil-Water Separators'!$F$9*10^IF(ABS('Chemical Properties'!H52)&gt;0,'Chemical Properties'!H52,'Chemical Properties'!H15)),'Oil-Water Separators'!B22/'Oil-Water Separators'!$F$9)</f>
        <v>0</v>
      </c>
      <c r="P49" s="105">
        <f t="shared" si="4"/>
        <v>0</v>
      </c>
    </row>
    <row r="50" spans="8:16">
      <c r="H50" s="55"/>
      <c r="I50" s="55"/>
      <c r="J50" s="62" t="s">
        <v>10</v>
      </c>
      <c r="K50" s="105">
        <f>$F$3/($F$4*IF(ABS('Chemical Properties'!G53)&gt;0,'Chemical Properties'!G53,'Chemical Properties'!G16))</f>
        <v>1.8394308943089432</v>
      </c>
      <c r="L50" s="105">
        <f t="shared" si="3"/>
        <v>7.520777732066674E-3</v>
      </c>
      <c r="M50" s="258">
        <f>(IF(ABS('Chemical Properties'!D53)&gt;0,'Chemical Properties'!D53,'Chemical Properties'!D16)/760*$F$4*$F$5)/($F$7*$F$6*$B$4)</f>
        <v>4.6061705989110707E-6</v>
      </c>
      <c r="N50" s="105">
        <f t="shared" si="5"/>
        <v>3.4641985270390597E-8</v>
      </c>
      <c r="O50" s="105">
        <f>IF($F$10&gt;=1,10^IF(ABS('Chemical Properties'!H53)&gt;0,'Chemical Properties'!H53,'Chemical Properties'!H16)*'Oil-Water Separators'!B23/(1-'Oil-Water Separators'!$F$9+'Oil-Water Separators'!$F$9*10^IF(ABS('Chemical Properties'!H53)&gt;0,'Chemical Properties'!H53,'Chemical Properties'!H16)),'Oil-Water Separators'!B23/'Oil-Water Separators'!$F$9)</f>
        <v>0</v>
      </c>
      <c r="P50" s="105">
        <f t="shared" si="4"/>
        <v>0</v>
      </c>
    </row>
    <row r="51" spans="8:16">
      <c r="H51" s="55"/>
      <c r="I51" s="55"/>
      <c r="J51" s="63" t="s">
        <v>72</v>
      </c>
      <c r="K51" s="105">
        <f>$F$3/($F$4*IF(ABS('Chemical Properties'!G54)&gt;0,'Chemical Properties'!G54,'Chemical Properties'!G17))</f>
        <v>0.75416666666666676</v>
      </c>
      <c r="L51" s="105">
        <f t="shared" si="3"/>
        <v>1.3667767100611246E-2</v>
      </c>
      <c r="M51" s="258">
        <f>(IF(ABS('Chemical Properties'!D54)&gt;0,'Chemical Properties'!D54,'Chemical Properties'!D17)/760*$F$4*$F$5)/($F$7*$F$6*$B$4)</f>
        <v>2.5200426102738103E-3</v>
      </c>
      <c r="N51" s="105">
        <f t="shared" si="5"/>
        <v>3.4443355480838873E-5</v>
      </c>
      <c r="O51" s="105">
        <f>IF($F$10&gt;=1,10^IF(ABS('Chemical Properties'!H54)&gt;0,'Chemical Properties'!H54,'Chemical Properties'!H17)*'Oil-Water Separators'!B24/(1-'Oil-Water Separators'!$F$9+'Oil-Water Separators'!$F$9*10^IF(ABS('Chemical Properties'!H54)&gt;0,'Chemical Properties'!H54,'Chemical Properties'!H17)),'Oil-Water Separators'!B24/'Oil-Water Separators'!$F$9)</f>
        <v>0</v>
      </c>
      <c r="P51" s="105">
        <f t="shared" si="4"/>
        <v>0</v>
      </c>
    </row>
    <row r="52" spans="8:16">
      <c r="H52" s="55"/>
      <c r="I52" s="55"/>
      <c r="J52" s="63" t="s">
        <v>73</v>
      </c>
      <c r="K52" s="105">
        <f>$F$3/($F$4*IF(ABS('Chemical Properties'!G55)&gt;0,'Chemical Properties'!G55,'Chemical Properties'!G18))</f>
        <v>2.1733909702209413</v>
      </c>
      <c r="L52" s="105">
        <f t="shared" si="3"/>
        <v>6.7254030716589423E-3</v>
      </c>
      <c r="M52" s="258">
        <f>(IF(ABS('Chemical Properties'!D55)&gt;0,'Chemical Properties'!D55,'Chemical Properties'!D18)/760*$F$4*$F$5)/($F$7*$F$6*$B$4)</f>
        <v>5.0067071727294242E-6</v>
      </c>
      <c r="N52" s="105">
        <f t="shared" si="5"/>
        <v>3.3672123798371329E-8</v>
      </c>
      <c r="O52" s="105">
        <f>IF($F$10&gt;=1,10^IF(ABS('Chemical Properties'!H55)&gt;0,'Chemical Properties'!H55,'Chemical Properties'!H18)*'Oil-Water Separators'!B25/(1-'Oil-Water Separators'!$F$9+'Oil-Water Separators'!$F$9*10^IF(ABS('Chemical Properties'!H55)&gt;0,'Chemical Properties'!H55,'Chemical Properties'!H18)),'Oil-Water Separators'!B25/'Oil-Water Separators'!$F$9)</f>
        <v>0</v>
      </c>
      <c r="P52" s="105">
        <f t="shared" si="4"/>
        <v>0</v>
      </c>
    </row>
    <row r="53" spans="8:16">
      <c r="H53" s="55"/>
      <c r="I53" s="55"/>
      <c r="J53" s="64" t="s">
        <v>74</v>
      </c>
      <c r="K53" s="105">
        <f>$F$3/($F$4*IF(ABS('Chemical Properties'!G56)&gt;0,'Chemical Properties'!G56,'Chemical Properties'!G19))</f>
        <v>2.1125116713352012</v>
      </c>
      <c r="L53" s="105">
        <f t="shared" si="3"/>
        <v>6.8546498432841933E-3</v>
      </c>
      <c r="M53" s="258">
        <f>(IF(ABS('Chemical Properties'!D56)&gt;0,'Chemical Properties'!D56,'Chemical Properties'!D19)/760*$F$4*$F$5)/($F$7*$F$6*$B$4)</f>
        <v>1.3420946306881408E-4</v>
      </c>
      <c r="N53" s="105">
        <f t="shared" si="5"/>
        <v>9.1995887499190214E-7</v>
      </c>
      <c r="O53" s="105">
        <f>IF($F$10&gt;=1,10^IF(ABS('Chemical Properties'!H56)&gt;0,'Chemical Properties'!H56,'Chemical Properties'!H19)*'Oil-Water Separators'!B26/(1-'Oil-Water Separators'!$F$9+'Oil-Water Separators'!$F$9*10^IF(ABS('Chemical Properties'!H56)&gt;0,'Chemical Properties'!H56,'Chemical Properties'!H19)),'Oil-Water Separators'!B26/'Oil-Water Separators'!$F$9)</f>
        <v>0</v>
      </c>
      <c r="P53" s="105">
        <f t="shared" si="4"/>
        <v>0</v>
      </c>
    </row>
    <row r="54" spans="8:16">
      <c r="H54" s="55"/>
      <c r="I54" s="55"/>
      <c r="J54" s="63" t="s">
        <v>75</v>
      </c>
      <c r="K54" s="105">
        <f>$F$3/($F$4*IF(ABS('Chemical Properties'!G57)&gt;0,'Chemical Properties'!G57,'Chemical Properties'!G20))</f>
        <v>1.4729817708333335</v>
      </c>
      <c r="L54" s="105">
        <f t="shared" si="3"/>
        <v>8.7278735119411498E-3</v>
      </c>
      <c r="M54" s="258">
        <f>(IF(ABS('Chemical Properties'!D57)&gt;0,'Chemical Properties'!D57,'Chemical Properties'!D20)/760*$F$4*$F$5)/($F$7*$F$6*$B$4)</f>
        <v>3.1033073068728796E-3</v>
      </c>
      <c r="N54" s="105">
        <f t="shared" si="5"/>
        <v>2.7085273643069232E-5</v>
      </c>
      <c r="O54" s="105">
        <f>IF($F$10&gt;=1,10^IF(ABS('Chemical Properties'!H57)&gt;0,'Chemical Properties'!H57,'Chemical Properties'!H20)*'Oil-Water Separators'!B27/(1-'Oil-Water Separators'!$F$9+'Oil-Water Separators'!$F$9*10^IF(ABS('Chemical Properties'!H57)&gt;0,'Chemical Properties'!H57,'Chemical Properties'!H20)),'Oil-Water Separators'!B27/'Oil-Water Separators'!$F$9)</f>
        <v>0</v>
      </c>
      <c r="P54" s="105">
        <f t="shared" si="4"/>
        <v>0</v>
      </c>
    </row>
    <row r="55" spans="8:16">
      <c r="H55" s="55"/>
      <c r="I55" s="55"/>
      <c r="J55" s="64" t="s">
        <v>78</v>
      </c>
      <c r="K55" s="105">
        <f>$F$3/($F$4*IF(ABS('Chemical Properties'!G58)&gt;0,'Chemical Properties'!G58,'Chemical Properties'!G21))</f>
        <v>3.7334983498349841</v>
      </c>
      <c r="L55" s="105">
        <f t="shared" si="3"/>
        <v>4.6804001793983429E-3</v>
      </c>
      <c r="M55" s="258">
        <f>(IF(ABS('Chemical Properties'!D58)&gt;0,'Chemical Properties'!D58,'Chemical Properties'!D21)/760*$F$4*$F$5)/($F$7*$F$6*$B$4)</f>
        <v>1.608821904837055E-7</v>
      </c>
      <c r="N55" s="105">
        <f t="shared" si="5"/>
        <v>7.5299303320193359E-10</v>
      </c>
      <c r="O55" s="105">
        <f>IF($F$10&gt;=1,10^IF(ABS('Chemical Properties'!H58)&gt;0,'Chemical Properties'!H58,'Chemical Properties'!H21)*'Oil-Water Separators'!B28/(1-'Oil-Water Separators'!$F$9+'Oil-Water Separators'!$F$9*10^IF(ABS('Chemical Properties'!H58)&gt;0,'Chemical Properties'!H58,'Chemical Properties'!H21)),'Oil-Water Separators'!B28/'Oil-Water Separators'!$F$9)</f>
        <v>0</v>
      </c>
      <c r="P55" s="105">
        <f t="shared" si="4"/>
        <v>0</v>
      </c>
    </row>
    <row r="56" spans="8:16">
      <c r="H56" s="55"/>
      <c r="I56" s="55"/>
      <c r="J56" s="65" t="s">
        <v>14</v>
      </c>
      <c r="K56" s="105">
        <f>$F$3/($F$4*IF(ABS('Chemical Properties'!G59)&gt;0,'Chemical Properties'!G59,'Chemical Properties'!G22))</f>
        <v>0.93279736136878999</v>
      </c>
      <c r="L56" s="105">
        <f t="shared" si="3"/>
        <v>1.185340671040507E-2</v>
      </c>
      <c r="M56" s="258">
        <f>(IF(ABS('Chemical Properties'!D59)&gt;0,'Chemical Properties'!D59,'Chemical Properties'!D22)/760*$F$4*$F$5)/($F$7*$F$6*$B$4)</f>
        <v>0.15707709303243114</v>
      </c>
      <c r="N56" s="105">
        <f t="shared" si="5"/>
        <v>1.8618986686015407E-3</v>
      </c>
      <c r="O56" s="105">
        <f>IF($F$10&gt;=1,10^IF(ABS('Chemical Properties'!H59)&gt;0,'Chemical Properties'!H59,'Chemical Properties'!H22)*'Oil-Water Separators'!B29/(1-'Oil-Water Separators'!$F$9+'Oil-Water Separators'!$F$9*10^IF(ABS('Chemical Properties'!H59)&gt;0,'Chemical Properties'!H59,'Chemical Properties'!H22)),'Oil-Water Separators'!B29/'Oil-Water Separators'!$F$9)</f>
        <v>0</v>
      </c>
      <c r="P56" s="105">
        <f t="shared" si="4"/>
        <v>0</v>
      </c>
    </row>
    <row r="57" spans="8:16">
      <c r="H57" s="55"/>
      <c r="I57" s="55"/>
      <c r="J57" s="65" t="s">
        <v>79</v>
      </c>
      <c r="K57" s="105">
        <f>$F$3/($F$4*IF(ABS('Chemical Properties'!G60)&gt;0,'Chemical Properties'!G60,'Chemical Properties'!G23))</f>
        <v>1.4503205128205132</v>
      </c>
      <c r="L57" s="105">
        <f t="shared" si="3"/>
        <v>8.819009491745626E-3</v>
      </c>
      <c r="M57" s="258">
        <f>(IF(ABS('Chemical Properties'!D60)&gt;0,'Chemical Properties'!D60,'Chemical Properties'!D23)/760*$F$4*$F$5)/($F$7*$F$6*$B$4)</f>
        <v>1.3267774007732975E-3</v>
      </c>
      <c r="N57" s="105">
        <f t="shared" si="5"/>
        <v>1.17008624908533E-5</v>
      </c>
      <c r="O57" s="105">
        <f>IF($F$10&gt;=1,10^IF(ABS('Chemical Properties'!H60)&gt;0,'Chemical Properties'!H60,'Chemical Properties'!H23)*'Oil-Water Separators'!B30/(1-'Oil-Water Separators'!$F$9+'Oil-Water Separators'!$F$9*10^IF(ABS('Chemical Properties'!H60)&gt;0,'Chemical Properties'!H60,'Chemical Properties'!H23)),'Oil-Water Separators'!B30/'Oil-Water Separators'!$F$9)</f>
        <v>0</v>
      </c>
      <c r="P57" s="105">
        <f t="shared" si="4"/>
        <v>0</v>
      </c>
    </row>
    <row r="58" spans="8:16">
      <c r="H58" s="55"/>
      <c r="I58" s="55"/>
      <c r="J58" s="65" t="s">
        <v>15</v>
      </c>
      <c r="K58" s="105">
        <f>$F$3/($F$4*IF(ABS('Chemical Properties'!G61)&gt;0,'Chemical Properties'!G61,'Chemical Properties'!G24))</f>
        <v>2.1425189393939394</v>
      </c>
      <c r="L58" s="105">
        <f t="shared" si="3"/>
        <v>6.7901779241890045E-3</v>
      </c>
      <c r="M58" s="258">
        <f>(IF(ABS('Chemical Properties'!D61)&gt;0,'Chemical Properties'!D61,'Chemical Properties'!D24)/760*$F$4*$F$5)/($F$7*$F$6*$B$4)</f>
        <v>4.6395486467292656E-9</v>
      </c>
      <c r="N58" s="105">
        <f t="shared" si="5"/>
        <v>3.1503360799222033E-11</v>
      </c>
      <c r="O58" s="105">
        <f>IF($F$10&gt;=1,10^IF(ABS('Chemical Properties'!H61)&gt;0,'Chemical Properties'!H61,'Chemical Properties'!H24)*'Oil-Water Separators'!B31/(1-'Oil-Water Separators'!$F$9+'Oil-Water Separators'!$F$9*10^IF(ABS('Chemical Properties'!H61)&gt;0,'Chemical Properties'!H61,'Chemical Properties'!H24)),'Oil-Water Separators'!B31/'Oil-Water Separators'!$F$9)</f>
        <v>0</v>
      </c>
      <c r="P58" s="105">
        <f t="shared" si="4"/>
        <v>0</v>
      </c>
    </row>
    <row r="59" spans="8:16">
      <c r="H59" s="55"/>
      <c r="I59" s="55"/>
      <c r="J59" s="65" t="s">
        <v>80</v>
      </c>
      <c r="K59" s="105">
        <f>$F$3/($F$4*IF(ABS('Chemical Properties'!G62)&gt;0,'Chemical Properties'!G62,'Chemical Properties'!G25))</f>
        <v>2.0577535243292409</v>
      </c>
      <c r="L59" s="105">
        <f t="shared" si="3"/>
        <v>6.9763319267841465E-3</v>
      </c>
      <c r="M59" s="258">
        <f>(IF(ABS('Chemical Properties'!D62)&gt;0,'Chemical Properties'!D62,'Chemical Properties'!D25)/760*$F$4*$F$5)/($F$7*$F$6*$B$4)</f>
        <v>8.2063268365817072E-4</v>
      </c>
      <c r="N59" s="105">
        <f t="shared" si="5"/>
        <v>5.7250059911670515E-6</v>
      </c>
      <c r="O59" s="105">
        <f>IF($F$10&gt;=1,10^IF(ABS('Chemical Properties'!H62)&gt;0,'Chemical Properties'!H62,'Chemical Properties'!H25)*'Oil-Water Separators'!B32/(1-'Oil-Water Separators'!$F$9+'Oil-Water Separators'!$F$9*10^IF(ABS('Chemical Properties'!H62)&gt;0,'Chemical Properties'!H62,'Chemical Properties'!H25)),'Oil-Water Separators'!B32/'Oil-Water Separators'!$F$9)</f>
        <v>0</v>
      </c>
      <c r="P59" s="105">
        <f t="shared" si="4"/>
        <v>0</v>
      </c>
    </row>
    <row r="60" spans="8:16">
      <c r="H60" s="55"/>
      <c r="I60" s="55"/>
      <c r="J60" s="65" t="s">
        <v>59</v>
      </c>
      <c r="K60" s="105" t="e">
        <f>$F$3/($F$4*IF(ABS('Chemical Properties'!G63)&gt;0,'Chemical Properties'!G63,'Chemical Properties'!G26))</f>
        <v>#DIV/0!</v>
      </c>
      <c r="L60" s="105" t="e">
        <f t="shared" si="3"/>
        <v>#DIV/0!</v>
      </c>
      <c r="M60" s="258">
        <f>(IF(ABS('Chemical Properties'!D63)&gt;0,'Chemical Properties'!D63,'Chemical Properties'!D26)/760*$F$4*$F$5)/($F$7*$F$6*$B$4)</f>
        <v>0</v>
      </c>
      <c r="N60" s="105" t="e">
        <f>L60*M60</f>
        <v>#DIV/0!</v>
      </c>
      <c r="O60" s="105">
        <f>IF($F$10&gt;=1,10^IF(ABS('Chemical Properties'!H63)&gt;0,'Chemical Properties'!H63,'Chemical Properties'!H26)*'Oil-Water Separators'!B33/(1-'Oil-Water Separators'!$F$9+'Oil-Water Separators'!$F$9*10^IF(ABS('Chemical Properties'!H63)&gt;0,'Chemical Properties'!H63,'Chemical Properties'!H26)),'Oil-Water Separators'!B33/'Oil-Water Separators'!$F$9)</f>
        <v>0</v>
      </c>
      <c r="P60" s="105" t="e">
        <f>($F$8*O60)/(N60*$B$3+$F$8)</f>
        <v>#DIV/0!</v>
      </c>
    </row>
    <row r="61" spans="8:16">
      <c r="H61" s="55"/>
      <c r="I61" s="55"/>
      <c r="J61" s="65" t="s">
        <v>60</v>
      </c>
      <c r="K61" s="105" t="e">
        <f>$F$3/($F$4*IF(ABS('Chemical Properties'!G64)&gt;0,'Chemical Properties'!G64,'Chemical Properties'!G27))</f>
        <v>#DIV/0!</v>
      </c>
      <c r="L61" s="105" t="e">
        <f t="shared" si="3"/>
        <v>#DIV/0!</v>
      </c>
      <c r="M61" s="258">
        <f>(IF(ABS('Chemical Properties'!D64)&gt;0,'Chemical Properties'!D64,'Chemical Properties'!D27)/760*$F$4*$F$5)/($F$7*$F$6*$B$4)</f>
        <v>0</v>
      </c>
      <c r="N61" s="105" t="e">
        <f>L61*M61</f>
        <v>#DIV/0!</v>
      </c>
      <c r="O61" s="105">
        <f>IF($F$10&gt;=1,10^IF(ABS('Chemical Properties'!H64)&gt;0,'Chemical Properties'!H64,'Chemical Properties'!H27)*'Oil-Water Separators'!B34/(1-'Oil-Water Separators'!$F$9+'Oil-Water Separators'!$F$9*10^IF(ABS('Chemical Properties'!H64)&gt;0,'Chemical Properties'!H64,'Chemical Properties'!H27)),'Oil-Water Separators'!B34/'Oil-Water Separators'!$F$9)</f>
        <v>0</v>
      </c>
      <c r="P61" s="105" t="e">
        <f>($F$8*O61)/(N61*$B$3+$F$8)</f>
        <v>#DIV/0!</v>
      </c>
    </row>
    <row r="62" spans="8:16">
      <c r="H62" s="55"/>
      <c r="I62" s="55"/>
      <c r="J62" s="65" t="s">
        <v>61</v>
      </c>
      <c r="K62" s="105" t="e">
        <f>$F$3/($F$4*IF(ABS('Chemical Properties'!G65)&gt;0,'Chemical Properties'!G65,'Chemical Properties'!G28))</f>
        <v>#DIV/0!</v>
      </c>
      <c r="L62" s="105" t="e">
        <f t="shared" si="3"/>
        <v>#DIV/0!</v>
      </c>
      <c r="M62" s="258">
        <f>(IF(ABS('Chemical Properties'!D65)&gt;0,'Chemical Properties'!D65,'Chemical Properties'!D28)/760*$F$4*$F$5)/($F$7*$F$6*$B$4)</f>
        <v>0</v>
      </c>
      <c r="N62" s="105" t="e">
        <f>L62*M62</f>
        <v>#DIV/0!</v>
      </c>
      <c r="O62" s="105">
        <f>IF($F$10&gt;=1,10^IF(ABS('Chemical Properties'!H65)&gt;0,'Chemical Properties'!H65,'Chemical Properties'!H28)*'Oil-Water Separators'!B35/(1-'Oil-Water Separators'!$F$9+'Oil-Water Separators'!$F$9*10^IF(ABS('Chemical Properties'!H65)&gt;0,'Chemical Properties'!H65,'Chemical Properties'!H28)),'Oil-Water Separators'!B35/'Oil-Water Separators'!$F$9)</f>
        <v>0</v>
      </c>
      <c r="P62" s="105" t="e">
        <f>($F$8*O62)/(N62*$B$3+$F$8)</f>
        <v>#DIV/0!</v>
      </c>
    </row>
    <row r="63" spans="8:16">
      <c r="H63" s="55"/>
      <c r="I63" s="55"/>
      <c r="J63" s="65" t="s">
        <v>256</v>
      </c>
      <c r="K63" s="105">
        <f>$F$3/($F$4*IF(ABS('Chemical Properties'!G66)&gt;0,'Chemical Properties'!G66,'Chemical Properties'!G29))</f>
        <v>1.5204973118279572</v>
      </c>
      <c r="L63" s="105">
        <f t="shared" si="3"/>
        <v>8.5441781111178991E-3</v>
      </c>
      <c r="M63" s="258">
        <f>(IF(ABS('Chemical Properties'!D66)&gt;0,'Chemical Properties'!D66,'Chemical Properties'!D29)/760*$F$4*$F$5)/($F$7*$F$6*$B$4)</f>
        <v>3.0374023514558507E-2</v>
      </c>
      <c r="N63" s="105">
        <f>L63*M63</f>
        <v>2.5952106685967114E-4</v>
      </c>
      <c r="O63" s="105">
        <f>IF($F$10&gt;=1,10^IF(ABS('Chemical Properties'!H66)&gt;0,'Chemical Properties'!H66,'Chemical Properties'!H29)*'Oil-Water Separators'!B36/(1-'Oil-Water Separators'!$F$9+'Oil-Water Separators'!$F$9*10^IF(ABS('Chemical Properties'!H66)&gt;0,'Chemical Properties'!H66,'Chemical Properties'!H29)),'Oil-Water Separators'!B36/'Oil-Water Separators'!$F$9)</f>
        <v>0</v>
      </c>
      <c r="P63" s="105">
        <f>($F$8*O63)/(N63*$B$3+$F$8)</f>
        <v>0</v>
      </c>
    </row>
    <row r="64" spans="8:16">
      <c r="H64" s="55"/>
      <c r="I64" s="55"/>
    </row>
    <row r="65" spans="8:16">
      <c r="H65" s="55"/>
      <c r="I65" s="55"/>
      <c r="J65" s="212"/>
      <c r="K65" s="226"/>
      <c r="L65" s="226"/>
      <c r="M65" s="226"/>
      <c r="N65" s="226"/>
      <c r="O65" s="226"/>
      <c r="P65" s="226"/>
    </row>
    <row r="66" spans="8:16">
      <c r="H66" s="55"/>
      <c r="I66" s="55"/>
      <c r="J66" s="55"/>
      <c r="K66" s="55"/>
      <c r="L66" s="55"/>
      <c r="M66" s="55"/>
      <c r="N66" s="55"/>
      <c r="O66" s="55"/>
      <c r="P66" s="55"/>
    </row>
    <row r="67" spans="8:16">
      <c r="H67" s="55"/>
      <c r="I67" s="55"/>
      <c r="J67" s="55"/>
      <c r="K67" s="55"/>
      <c r="L67" s="55"/>
      <c r="M67" s="55"/>
      <c r="N67" s="55"/>
      <c r="O67" s="55"/>
      <c r="P67" s="55"/>
    </row>
    <row r="68" spans="8:16">
      <c r="H68" s="55"/>
      <c r="I68" s="55"/>
      <c r="J68" s="55"/>
      <c r="K68" s="55"/>
      <c r="L68" s="55"/>
      <c r="M68" s="55"/>
      <c r="N68" s="55"/>
      <c r="O68" s="55"/>
    </row>
    <row r="69" spans="8:16">
      <c r="H69" s="55"/>
      <c r="I69" s="55"/>
      <c r="J69" s="55"/>
      <c r="K69" s="55"/>
      <c r="L69" s="55"/>
      <c r="M69" s="55"/>
      <c r="N69" s="55"/>
      <c r="O69" s="55"/>
    </row>
    <row r="70" spans="8:16">
      <c r="H70" s="55"/>
      <c r="I70" s="55"/>
      <c r="J70" s="292" t="s">
        <v>159</v>
      </c>
      <c r="K70" s="292"/>
      <c r="L70" s="292"/>
      <c r="M70" s="292"/>
      <c r="N70" s="292"/>
      <c r="O70" s="292"/>
      <c r="P70" s="135"/>
    </row>
    <row r="71" spans="8:16" ht="38.25">
      <c r="H71" s="55"/>
      <c r="I71" s="55"/>
      <c r="J71" s="128" t="s">
        <v>153</v>
      </c>
      <c r="K71" s="129" t="s">
        <v>155</v>
      </c>
      <c r="L71" s="129" t="s">
        <v>156</v>
      </c>
      <c r="M71" s="129" t="s">
        <v>157</v>
      </c>
      <c r="N71" s="129" t="s">
        <v>158</v>
      </c>
      <c r="O71" s="129" t="s">
        <v>154</v>
      </c>
    </row>
    <row r="72" spans="8:16">
      <c r="J72" s="60" t="s">
        <v>17</v>
      </c>
      <c r="K72" s="257">
        <f t="shared" ref="K72:K93" si="6">$B$5*B11</f>
        <v>1</v>
      </c>
      <c r="L72" s="127">
        <f t="shared" ref="L72:L93" si="7">M3*$B$5</f>
        <v>1.0008056641121545</v>
      </c>
      <c r="M72" s="127">
        <f t="shared" ref="M72:M93" si="8">K3</f>
        <v>1.6114746479673798E-4</v>
      </c>
      <c r="N72" s="130">
        <f t="shared" ref="N72:N93" si="9">L72/K72*100</f>
        <v>100.08056641121546</v>
      </c>
      <c r="O72" s="130">
        <f t="shared" ref="O72:O93" si="10">M72/K72*100</f>
        <v>1.61147464796738E-2</v>
      </c>
    </row>
    <row r="73" spans="8:16">
      <c r="J73" s="62" t="s">
        <v>6</v>
      </c>
      <c r="K73" s="257">
        <f t="shared" si="6"/>
        <v>1</v>
      </c>
      <c r="L73" s="127">
        <f t="shared" si="7"/>
        <v>0.88191487206935648</v>
      </c>
      <c r="M73" s="127">
        <f t="shared" si="8"/>
        <v>8.4979555727641501E-2</v>
      </c>
      <c r="N73" s="130">
        <f t="shared" si="9"/>
        <v>88.191487206935648</v>
      </c>
      <c r="O73" s="130">
        <f t="shared" si="10"/>
        <v>8.49795557276415</v>
      </c>
    </row>
    <row r="74" spans="8:16">
      <c r="J74" s="62" t="s">
        <v>13</v>
      </c>
      <c r="K74" s="257">
        <f t="shared" si="6"/>
        <v>1</v>
      </c>
      <c r="L74" s="127">
        <f t="shared" si="7"/>
        <v>0.90991810737033663</v>
      </c>
      <c r="M74" s="127">
        <f t="shared" si="8"/>
        <v>8.3125698868186229E-2</v>
      </c>
      <c r="N74" s="130">
        <f t="shared" si="9"/>
        <v>90.99181073703366</v>
      </c>
      <c r="O74" s="130">
        <f t="shared" si="10"/>
        <v>8.3125698868186237</v>
      </c>
    </row>
    <row r="75" spans="8:16">
      <c r="J75" s="60" t="s">
        <v>69</v>
      </c>
      <c r="K75" s="257">
        <f t="shared" si="6"/>
        <v>1</v>
      </c>
      <c r="L75" s="127">
        <f t="shared" si="7"/>
        <v>0.99909535839946984</v>
      </c>
      <c r="M75" s="127">
        <f t="shared" si="8"/>
        <v>1.3386272727062367E-3</v>
      </c>
      <c r="N75" s="130">
        <f t="shared" si="9"/>
        <v>99.909535839946983</v>
      </c>
      <c r="O75" s="130">
        <f t="shared" si="10"/>
        <v>0.13386272727062368</v>
      </c>
    </row>
    <row r="76" spans="8:16">
      <c r="J76" s="62" t="s">
        <v>9</v>
      </c>
      <c r="K76" s="257">
        <f t="shared" si="6"/>
        <v>1</v>
      </c>
      <c r="L76" s="127">
        <f t="shared" si="7"/>
        <v>0.30396359536186723</v>
      </c>
      <c r="M76" s="127">
        <f t="shared" si="8"/>
        <v>1.1896990748714836E-3</v>
      </c>
      <c r="N76" s="130">
        <f t="shared" si="9"/>
        <v>30.396359536186722</v>
      </c>
      <c r="O76" s="130">
        <f t="shared" si="10"/>
        <v>0.11896990748714836</v>
      </c>
    </row>
    <row r="77" spans="8:16">
      <c r="J77" s="63" t="s">
        <v>7</v>
      </c>
      <c r="K77" s="257">
        <f t="shared" si="6"/>
        <v>0</v>
      </c>
      <c r="L77" s="127">
        <f t="shared" si="7"/>
        <v>0</v>
      </c>
      <c r="M77" s="127">
        <f t="shared" si="8"/>
        <v>0</v>
      </c>
      <c r="N77" s="130" t="e">
        <f t="shared" si="9"/>
        <v>#DIV/0!</v>
      </c>
      <c r="O77" s="130" t="e">
        <f t="shared" si="10"/>
        <v>#DIV/0!</v>
      </c>
    </row>
    <row r="78" spans="8:16">
      <c r="J78" s="62" t="s">
        <v>8</v>
      </c>
      <c r="K78" s="257">
        <f t="shared" si="6"/>
        <v>0</v>
      </c>
      <c r="L78" s="127">
        <f t="shared" si="7"/>
        <v>0</v>
      </c>
      <c r="M78" s="127">
        <f t="shared" si="8"/>
        <v>0</v>
      </c>
      <c r="N78" s="130" t="e">
        <f t="shared" si="9"/>
        <v>#DIV/0!</v>
      </c>
      <c r="O78" s="130" t="e">
        <f t="shared" si="10"/>
        <v>#DIV/0!</v>
      </c>
    </row>
    <row r="79" spans="8:16">
      <c r="J79" s="62" t="s">
        <v>11</v>
      </c>
      <c r="K79" s="257">
        <f t="shared" si="6"/>
        <v>0</v>
      </c>
      <c r="L79" s="127">
        <f t="shared" si="7"/>
        <v>0</v>
      </c>
      <c r="M79" s="127">
        <f t="shared" si="8"/>
        <v>0</v>
      </c>
      <c r="N79" s="130" t="e">
        <f t="shared" si="9"/>
        <v>#DIV/0!</v>
      </c>
      <c r="O79" s="130" t="e">
        <f t="shared" si="10"/>
        <v>#DIV/0!</v>
      </c>
    </row>
    <row r="80" spans="8:16">
      <c r="J80" s="63" t="s">
        <v>70</v>
      </c>
      <c r="K80" s="257">
        <f t="shared" si="6"/>
        <v>0</v>
      </c>
      <c r="L80" s="127">
        <f t="shared" si="7"/>
        <v>0</v>
      </c>
      <c r="M80" s="127">
        <f t="shared" si="8"/>
        <v>0</v>
      </c>
      <c r="N80" s="130" t="e">
        <f t="shared" si="9"/>
        <v>#DIV/0!</v>
      </c>
      <c r="O80" s="130" t="e">
        <f t="shared" si="10"/>
        <v>#DIV/0!</v>
      </c>
    </row>
    <row r="81" spans="10:15">
      <c r="J81" s="63" t="s">
        <v>16</v>
      </c>
      <c r="K81" s="257">
        <f t="shared" si="6"/>
        <v>0</v>
      </c>
      <c r="L81" s="127">
        <f t="shared" si="7"/>
        <v>0</v>
      </c>
      <c r="M81" s="127">
        <f t="shared" si="8"/>
        <v>0</v>
      </c>
      <c r="N81" s="130" t="e">
        <f t="shared" si="9"/>
        <v>#DIV/0!</v>
      </c>
      <c r="O81" s="130" t="e">
        <f t="shared" si="10"/>
        <v>#DIV/0!</v>
      </c>
    </row>
    <row r="82" spans="10:15">
      <c r="J82" s="60" t="s">
        <v>71</v>
      </c>
      <c r="K82" s="257">
        <f t="shared" si="6"/>
        <v>0</v>
      </c>
      <c r="L82" s="127">
        <f t="shared" si="7"/>
        <v>0</v>
      </c>
      <c r="M82" s="127">
        <f t="shared" si="8"/>
        <v>0</v>
      </c>
      <c r="N82" s="130" t="e">
        <f t="shared" si="9"/>
        <v>#DIV/0!</v>
      </c>
      <c r="O82" s="130" t="e">
        <f t="shared" si="10"/>
        <v>#DIV/0!</v>
      </c>
    </row>
    <row r="83" spans="10:15">
      <c r="J83" s="62" t="s">
        <v>12</v>
      </c>
      <c r="K83" s="257">
        <f t="shared" si="6"/>
        <v>0</v>
      </c>
      <c r="L83" s="127">
        <f t="shared" si="7"/>
        <v>0</v>
      </c>
      <c r="M83" s="127">
        <f t="shared" si="8"/>
        <v>0</v>
      </c>
      <c r="N83" s="130" t="e">
        <f t="shared" si="9"/>
        <v>#DIV/0!</v>
      </c>
      <c r="O83" s="130" t="e">
        <f t="shared" si="10"/>
        <v>#DIV/0!</v>
      </c>
    </row>
    <row r="84" spans="10:15">
      <c r="J84" s="62" t="s">
        <v>10</v>
      </c>
      <c r="K84" s="257">
        <f t="shared" si="6"/>
        <v>0</v>
      </c>
      <c r="L84" s="127">
        <f t="shared" si="7"/>
        <v>0</v>
      </c>
      <c r="M84" s="127">
        <f t="shared" si="8"/>
        <v>0</v>
      </c>
      <c r="N84" s="130" t="e">
        <f t="shared" si="9"/>
        <v>#DIV/0!</v>
      </c>
      <c r="O84" s="130" t="e">
        <f t="shared" si="10"/>
        <v>#DIV/0!</v>
      </c>
    </row>
    <row r="85" spans="10:15">
      <c r="J85" s="63" t="s">
        <v>72</v>
      </c>
      <c r="K85" s="257">
        <f t="shared" si="6"/>
        <v>0</v>
      </c>
      <c r="L85" s="127">
        <f t="shared" si="7"/>
        <v>0</v>
      </c>
      <c r="M85" s="127">
        <f t="shared" si="8"/>
        <v>0</v>
      </c>
      <c r="N85" s="130" t="e">
        <f t="shared" si="9"/>
        <v>#DIV/0!</v>
      </c>
      <c r="O85" s="130" t="e">
        <f t="shared" si="10"/>
        <v>#DIV/0!</v>
      </c>
    </row>
    <row r="86" spans="10:15">
      <c r="J86" s="63" t="s">
        <v>73</v>
      </c>
      <c r="K86" s="257">
        <f t="shared" si="6"/>
        <v>0</v>
      </c>
      <c r="L86" s="127">
        <f t="shared" si="7"/>
        <v>0</v>
      </c>
      <c r="M86" s="127">
        <f t="shared" si="8"/>
        <v>0</v>
      </c>
      <c r="N86" s="130" t="e">
        <f t="shared" si="9"/>
        <v>#DIV/0!</v>
      </c>
      <c r="O86" s="130" t="e">
        <f t="shared" si="10"/>
        <v>#DIV/0!</v>
      </c>
    </row>
    <row r="87" spans="10:15">
      <c r="J87" s="64" t="s">
        <v>74</v>
      </c>
      <c r="K87" s="257">
        <f t="shared" si="6"/>
        <v>0</v>
      </c>
      <c r="L87" s="127">
        <f t="shared" si="7"/>
        <v>0</v>
      </c>
      <c r="M87" s="127">
        <f t="shared" si="8"/>
        <v>0</v>
      </c>
      <c r="N87" s="130" t="e">
        <f t="shared" si="9"/>
        <v>#DIV/0!</v>
      </c>
      <c r="O87" s="130" t="e">
        <f t="shared" si="10"/>
        <v>#DIV/0!</v>
      </c>
    </row>
    <row r="88" spans="10:15">
      <c r="J88" s="63" t="s">
        <v>75</v>
      </c>
      <c r="K88" s="257">
        <f t="shared" si="6"/>
        <v>0</v>
      </c>
      <c r="L88" s="127">
        <f t="shared" si="7"/>
        <v>0</v>
      </c>
      <c r="M88" s="127">
        <f t="shared" si="8"/>
        <v>0</v>
      </c>
      <c r="N88" s="130" t="e">
        <f t="shared" si="9"/>
        <v>#DIV/0!</v>
      </c>
      <c r="O88" s="130" t="e">
        <f t="shared" si="10"/>
        <v>#DIV/0!</v>
      </c>
    </row>
    <row r="89" spans="10:15">
      <c r="J89" s="64" t="s">
        <v>78</v>
      </c>
      <c r="K89" s="257">
        <f t="shared" si="6"/>
        <v>0</v>
      </c>
      <c r="L89" s="127">
        <f t="shared" si="7"/>
        <v>0</v>
      </c>
      <c r="M89" s="127">
        <f t="shared" si="8"/>
        <v>0</v>
      </c>
      <c r="N89" s="130" t="e">
        <f t="shared" si="9"/>
        <v>#DIV/0!</v>
      </c>
      <c r="O89" s="130" t="e">
        <f t="shared" si="10"/>
        <v>#DIV/0!</v>
      </c>
    </row>
    <row r="90" spans="10:15">
      <c r="J90" s="65" t="s">
        <v>14</v>
      </c>
      <c r="K90" s="257">
        <f t="shared" si="6"/>
        <v>0</v>
      </c>
      <c r="L90" s="127">
        <f t="shared" si="7"/>
        <v>0</v>
      </c>
      <c r="M90" s="127">
        <f t="shared" si="8"/>
        <v>0</v>
      </c>
      <c r="N90" s="130" t="e">
        <f t="shared" si="9"/>
        <v>#DIV/0!</v>
      </c>
      <c r="O90" s="130" t="e">
        <f t="shared" si="10"/>
        <v>#DIV/0!</v>
      </c>
    </row>
    <row r="91" spans="10:15">
      <c r="J91" s="65" t="s">
        <v>79</v>
      </c>
      <c r="K91" s="257">
        <f t="shared" si="6"/>
        <v>0</v>
      </c>
      <c r="L91" s="127">
        <f t="shared" si="7"/>
        <v>0</v>
      </c>
      <c r="M91" s="127">
        <f t="shared" si="8"/>
        <v>0</v>
      </c>
      <c r="N91" s="130" t="e">
        <f t="shared" si="9"/>
        <v>#DIV/0!</v>
      </c>
      <c r="O91" s="130" t="e">
        <f t="shared" si="10"/>
        <v>#DIV/0!</v>
      </c>
    </row>
    <row r="92" spans="10:15">
      <c r="J92" s="65" t="s">
        <v>15</v>
      </c>
      <c r="K92" s="257">
        <f t="shared" si="6"/>
        <v>0</v>
      </c>
      <c r="L92" s="127">
        <f t="shared" si="7"/>
        <v>0</v>
      </c>
      <c r="M92" s="127">
        <f t="shared" si="8"/>
        <v>0</v>
      </c>
      <c r="N92" s="130" t="e">
        <f t="shared" si="9"/>
        <v>#DIV/0!</v>
      </c>
      <c r="O92" s="130" t="e">
        <f t="shared" si="10"/>
        <v>#DIV/0!</v>
      </c>
    </row>
    <row r="93" spans="10:15">
      <c r="J93" s="65" t="s">
        <v>80</v>
      </c>
      <c r="K93" s="257">
        <f t="shared" si="6"/>
        <v>0</v>
      </c>
      <c r="L93" s="127">
        <f t="shared" si="7"/>
        <v>0</v>
      </c>
      <c r="M93" s="127">
        <f t="shared" si="8"/>
        <v>0</v>
      </c>
      <c r="N93" s="130" t="e">
        <f t="shared" si="9"/>
        <v>#DIV/0!</v>
      </c>
      <c r="O93" s="130" t="e">
        <f t="shared" si="10"/>
        <v>#DIV/0!</v>
      </c>
    </row>
    <row r="94" spans="10:15">
      <c r="J94" s="65" t="s">
        <v>59</v>
      </c>
      <c r="K94" s="257">
        <f>$B$5*B33</f>
        <v>0</v>
      </c>
      <c r="L94" s="127" t="e">
        <f>M25*$B$5</f>
        <v>#DIV/0!</v>
      </c>
      <c r="M94" s="127" t="e">
        <f>K25</f>
        <v>#DIV/0!</v>
      </c>
      <c r="N94" s="130" t="e">
        <f>L94/K94*100</f>
        <v>#DIV/0!</v>
      </c>
      <c r="O94" s="130" t="e">
        <f>M94/K94*100</f>
        <v>#DIV/0!</v>
      </c>
    </row>
    <row r="95" spans="10:15">
      <c r="J95" s="81" t="s">
        <v>60</v>
      </c>
      <c r="K95" s="257">
        <f>$B$5*B34</f>
        <v>0</v>
      </c>
      <c r="L95" s="127" t="e">
        <f>M26*$B$5</f>
        <v>#DIV/0!</v>
      </c>
      <c r="M95" s="127" t="e">
        <f>K26</f>
        <v>#DIV/0!</v>
      </c>
      <c r="N95" s="130" t="e">
        <f>L95/K95*100</f>
        <v>#DIV/0!</v>
      </c>
      <c r="O95" s="130" t="e">
        <f>M95/K95*100</f>
        <v>#DIV/0!</v>
      </c>
    </row>
    <row r="96" spans="10:15">
      <c r="J96" s="65" t="s">
        <v>61</v>
      </c>
      <c r="K96" s="257">
        <f>$B$5*B35</f>
        <v>0</v>
      </c>
      <c r="L96" s="127" t="e">
        <f>M27*$B$5</f>
        <v>#DIV/0!</v>
      </c>
      <c r="M96" s="127" t="e">
        <f>K27</f>
        <v>#DIV/0!</v>
      </c>
      <c r="N96" s="130" t="e">
        <f>L96/K96*100</f>
        <v>#DIV/0!</v>
      </c>
      <c r="O96" s="130" t="e">
        <f>M96/K96*100</f>
        <v>#DIV/0!</v>
      </c>
    </row>
    <row r="97" spans="10:15">
      <c r="J97" s="65" t="s">
        <v>256</v>
      </c>
      <c r="K97" s="257">
        <f>$B$5*B36</f>
        <v>0</v>
      </c>
      <c r="L97" s="127">
        <f>M28*$B$5</f>
        <v>0</v>
      </c>
      <c r="M97" s="127">
        <f>K28</f>
        <v>0</v>
      </c>
      <c r="N97" s="130" t="e">
        <f>L97/K97*100</f>
        <v>#DIV/0!</v>
      </c>
      <c r="O97" s="130" t="e">
        <f>M97/K97*100</f>
        <v>#DIV/0!</v>
      </c>
    </row>
    <row r="99" spans="10:15">
      <c r="J99" s="212"/>
      <c r="K99" s="89"/>
      <c r="L99" s="214"/>
      <c r="M99" s="214"/>
      <c r="N99" s="133"/>
      <c r="O99" s="133"/>
    </row>
  </sheetData>
  <mergeCells count="3">
    <mergeCell ref="A10:C10"/>
    <mergeCell ref="A1:G1"/>
    <mergeCell ref="J70:O70"/>
  </mergeCells>
  <phoneticPr fontId="5" type="noConversion"/>
  <pageMargins left="0.75" right="0.75" top="1" bottom="1" header="0.5" footer="0.5"/>
  <pageSetup scale="30" orientation="portrait" r:id="rId1"/>
  <headerFooter alignWithMargins="0"/>
</worksheet>
</file>

<file path=xl/worksheets/sheet6.xml><?xml version="1.0" encoding="utf-8"?>
<worksheet xmlns="http://schemas.openxmlformats.org/spreadsheetml/2006/main" xmlns:r="http://schemas.openxmlformats.org/officeDocument/2006/relationships">
  <sheetPr>
    <tabColor rgb="FF00B0F0"/>
  </sheetPr>
  <dimension ref="A1:T112"/>
  <sheetViews>
    <sheetView workbookViewId="0">
      <selection activeCell="B3" sqref="B3"/>
    </sheetView>
  </sheetViews>
  <sheetFormatPr defaultRowHeight="12.75"/>
  <cols>
    <col min="1" max="1" width="32.42578125" style="57" customWidth="1"/>
    <col min="2" max="3" width="9.140625" style="57"/>
    <col min="4" max="4" width="2.42578125" style="57" customWidth="1"/>
    <col min="5" max="5" width="36.28515625" style="57" customWidth="1"/>
    <col min="6" max="6" width="10" style="57" bestFit="1" customWidth="1"/>
    <col min="7" max="7" width="14.140625" style="57" customWidth="1"/>
    <col min="8" max="8" width="19.42578125" style="57" customWidth="1"/>
    <col min="9" max="9" width="3.7109375" style="57" customWidth="1"/>
    <col min="10" max="10" width="29.85546875" style="57" customWidth="1"/>
    <col min="11" max="11" width="9.42578125" style="57" bestFit="1" customWidth="1"/>
    <col min="12" max="12" width="9.140625" style="57"/>
    <col min="13" max="13" width="35.140625" style="57" customWidth="1"/>
    <col min="14" max="15" width="10" style="57" bestFit="1" customWidth="1"/>
    <col min="16" max="16" width="12.5703125" style="57" bestFit="1" customWidth="1"/>
    <col min="17" max="17" width="9.42578125" style="57" bestFit="1" customWidth="1"/>
    <col min="18" max="18" width="13.85546875" style="57" bestFit="1" customWidth="1"/>
    <col min="19" max="19" width="9.42578125" style="57" bestFit="1" customWidth="1"/>
    <col min="20" max="20" width="11" style="57" customWidth="1"/>
    <col min="21" max="16384" width="9.140625" style="57"/>
  </cols>
  <sheetData>
    <row r="1" spans="1:16" ht="39" customHeight="1">
      <c r="A1" s="286" t="s">
        <v>267</v>
      </c>
      <c r="B1" s="285"/>
      <c r="C1" s="285"/>
      <c r="D1" s="285"/>
      <c r="E1" s="285"/>
      <c r="F1" s="90"/>
      <c r="G1" s="90"/>
    </row>
    <row r="2" spans="1:16" ht="12.75" customHeight="1">
      <c r="A2" s="68" t="s">
        <v>127</v>
      </c>
      <c r="B2" s="68" t="s">
        <v>4</v>
      </c>
      <c r="C2" s="68" t="s">
        <v>5</v>
      </c>
      <c r="D2" s="86"/>
      <c r="E2" s="68" t="s">
        <v>24</v>
      </c>
      <c r="F2" s="68" t="s">
        <v>4</v>
      </c>
      <c r="G2" s="68" t="s">
        <v>5</v>
      </c>
      <c r="H2" s="68" t="s">
        <v>57</v>
      </c>
      <c r="I2" s="86"/>
      <c r="J2" s="68" t="s">
        <v>22</v>
      </c>
      <c r="K2" s="68" t="s">
        <v>4</v>
      </c>
      <c r="L2" s="68" t="s">
        <v>5</v>
      </c>
      <c r="M2" s="68" t="s">
        <v>32</v>
      </c>
      <c r="N2" s="68" t="s">
        <v>5</v>
      </c>
      <c r="O2" s="69"/>
      <c r="P2" s="69"/>
    </row>
    <row r="3" spans="1:16" ht="15.75">
      <c r="A3" s="56" t="s">
        <v>122</v>
      </c>
      <c r="B3" s="70">
        <v>200</v>
      </c>
      <c r="C3" s="59" t="s">
        <v>1</v>
      </c>
      <c r="D3" s="58"/>
      <c r="E3" s="71" t="s">
        <v>164</v>
      </c>
      <c r="F3" s="75">
        <f>H3</f>
        <v>8.9300000000000004E-3</v>
      </c>
      <c r="G3" s="72" t="s">
        <v>25</v>
      </c>
      <c r="H3" s="101">
        <v>8.9300000000000004E-3</v>
      </c>
      <c r="I3" s="58"/>
      <c r="J3" s="60" t="s">
        <v>17</v>
      </c>
      <c r="K3" s="172">
        <f>IF(ABS((S47*$B$3+$B$8*R47)*M3)&gt;N85,N85,(S47*$B$3+$B$8*R47)*M3)</f>
        <v>5.4363076035620381E-4</v>
      </c>
      <c r="L3" s="72" t="s">
        <v>23</v>
      </c>
      <c r="M3" s="173">
        <f t="shared" ref="M3:M24" si="0">$B$6*B12/(S47*$B$3+$B$6+$B$8*R47)</f>
        <v>0.97281846198218969</v>
      </c>
      <c r="N3" s="59" t="s">
        <v>18</v>
      </c>
      <c r="O3" s="79"/>
    </row>
    <row r="4" spans="1:16" ht="15.75">
      <c r="A4" s="71" t="s">
        <v>123</v>
      </c>
      <c r="B4" s="73">
        <v>0.5</v>
      </c>
      <c r="C4" s="59" t="s">
        <v>37</v>
      </c>
      <c r="D4" s="58"/>
      <c r="E4" s="71" t="s">
        <v>34</v>
      </c>
      <c r="F4" s="75">
        <f>H4</f>
        <v>1</v>
      </c>
      <c r="G4" s="72" t="s">
        <v>26</v>
      </c>
      <c r="H4" s="101">
        <v>1</v>
      </c>
      <c r="I4" s="58"/>
      <c r="J4" s="62" t="s">
        <v>6</v>
      </c>
      <c r="K4" s="172">
        <f t="shared" ref="K4:K24" si="1">IF(ABS((S48*$B$3+$B$8*R48)*M4)&gt;N86,N86,(S48*$B$3+$B$8*R48)*M4)</f>
        <v>1.8516494029152199E-2</v>
      </c>
      <c r="L4" s="72" t="s">
        <v>23</v>
      </c>
      <c r="M4" s="173">
        <f t="shared" si="0"/>
        <v>7.4175298542390175E-2</v>
      </c>
      <c r="N4" s="59" t="s">
        <v>18</v>
      </c>
      <c r="O4" s="79"/>
    </row>
    <row r="5" spans="1:16" ht="15.75">
      <c r="A5" s="71" t="s">
        <v>130</v>
      </c>
      <c r="B5" s="87">
        <v>1</v>
      </c>
      <c r="C5" s="82" t="s">
        <v>3</v>
      </c>
      <c r="D5" s="58"/>
      <c r="E5" s="71" t="s">
        <v>36</v>
      </c>
      <c r="F5" s="75">
        <f>H5</f>
        <v>8.2100000000000003E-5</v>
      </c>
      <c r="G5" s="72" t="s">
        <v>162</v>
      </c>
      <c r="H5" s="101">
        <v>8.2100000000000003E-5</v>
      </c>
      <c r="I5" s="58"/>
      <c r="J5" s="62" t="s">
        <v>13</v>
      </c>
      <c r="K5" s="172">
        <f t="shared" si="1"/>
        <v>1.97072976711966E-2</v>
      </c>
      <c r="L5" s="72" t="s">
        <v>23</v>
      </c>
      <c r="M5" s="173">
        <f t="shared" si="0"/>
        <v>1.4635116440170013E-2</v>
      </c>
      <c r="N5" s="59" t="s">
        <v>18</v>
      </c>
      <c r="O5" s="79"/>
    </row>
    <row r="6" spans="1:16" ht="15.75">
      <c r="A6" s="56" t="s">
        <v>124</v>
      </c>
      <c r="B6" s="70">
        <v>0.02</v>
      </c>
      <c r="C6" s="59" t="s">
        <v>19</v>
      </c>
      <c r="D6" s="58"/>
      <c r="E6" s="71" t="s">
        <v>163</v>
      </c>
      <c r="F6" s="75">
        <f>H6</f>
        <v>1.8100000000000001E-4</v>
      </c>
      <c r="G6" s="72" t="s">
        <v>25</v>
      </c>
      <c r="H6" s="101">
        <v>1.8100000000000001E-4</v>
      </c>
      <c r="I6" s="58"/>
      <c r="J6" s="60" t="s">
        <v>69</v>
      </c>
      <c r="K6" s="172">
        <f t="shared" si="1"/>
        <v>2.9426732384520535E-3</v>
      </c>
      <c r="L6" s="72" t="s">
        <v>23</v>
      </c>
      <c r="M6" s="173">
        <f t="shared" si="0"/>
        <v>0.85286633807739731</v>
      </c>
      <c r="N6" s="59" t="s">
        <v>18</v>
      </c>
      <c r="O6" s="79"/>
    </row>
    <row r="7" spans="1:16" ht="15.75">
      <c r="A7" s="56" t="s">
        <v>131</v>
      </c>
      <c r="B7" s="74">
        <v>3</v>
      </c>
      <c r="C7" s="59" t="s">
        <v>46</v>
      </c>
      <c r="D7" s="58"/>
      <c r="E7" s="71" t="s">
        <v>27</v>
      </c>
      <c r="F7" s="75">
        <f>H7</f>
        <v>1.1999999999999999E-3</v>
      </c>
      <c r="G7" s="72" t="s">
        <v>26</v>
      </c>
      <c r="H7" s="101">
        <v>1.1999999999999999E-3</v>
      </c>
      <c r="I7" s="58"/>
      <c r="J7" s="62" t="s">
        <v>9</v>
      </c>
      <c r="K7" s="172">
        <f t="shared" si="1"/>
        <v>1.0612685203198162E-2</v>
      </c>
      <c r="L7" s="72" t="s">
        <v>23</v>
      </c>
      <c r="M7" s="173">
        <f t="shared" si="0"/>
        <v>0.46936573984009189</v>
      </c>
      <c r="N7" s="59" t="s">
        <v>18</v>
      </c>
      <c r="O7" s="79"/>
    </row>
    <row r="8" spans="1:16" ht="15.75">
      <c r="A8" s="71" t="s">
        <v>132</v>
      </c>
      <c r="B8" s="74">
        <v>1</v>
      </c>
      <c r="C8" s="59" t="s">
        <v>19</v>
      </c>
      <c r="D8" s="58"/>
      <c r="E8" s="56" t="s">
        <v>90</v>
      </c>
      <c r="F8" s="97">
        <v>8.4999999999999999E-6</v>
      </c>
      <c r="G8" s="59" t="s">
        <v>89</v>
      </c>
      <c r="H8" s="103">
        <v>8.4999999999999999E-6</v>
      </c>
      <c r="I8" s="58"/>
      <c r="J8" s="63" t="s">
        <v>7</v>
      </c>
      <c r="K8" s="172">
        <f t="shared" si="1"/>
        <v>1.9403862732136602E-2</v>
      </c>
      <c r="L8" s="72" t="s">
        <v>23</v>
      </c>
      <c r="M8" s="173">
        <f t="shared" si="0"/>
        <v>2.9806863393169895E-2</v>
      </c>
      <c r="N8" s="59" t="s">
        <v>18</v>
      </c>
      <c r="O8" s="79"/>
    </row>
    <row r="9" spans="1:16" ht="15.75">
      <c r="A9" s="56" t="s">
        <v>56</v>
      </c>
      <c r="B9" s="75">
        <v>4.4130000000000003</v>
      </c>
      <c r="C9" s="59" t="s">
        <v>0</v>
      </c>
      <c r="D9" s="58"/>
      <c r="I9" s="58"/>
      <c r="J9" s="62" t="s">
        <v>8</v>
      </c>
      <c r="K9" s="172">
        <f t="shared" si="1"/>
        <v>1.8924500239949602E-2</v>
      </c>
      <c r="L9" s="72" t="s">
        <v>23</v>
      </c>
      <c r="M9" s="173">
        <f t="shared" si="0"/>
        <v>5.3774988002519973E-2</v>
      </c>
      <c r="N9" s="59" t="s">
        <v>18</v>
      </c>
      <c r="O9" s="79"/>
    </row>
    <row r="10" spans="1:16" ht="14.25">
      <c r="D10" s="58"/>
      <c r="I10" s="58"/>
      <c r="J10" s="62" t="s">
        <v>11</v>
      </c>
      <c r="K10" s="172">
        <f t="shared" si="1"/>
        <v>0</v>
      </c>
      <c r="L10" s="72" t="s">
        <v>23</v>
      </c>
      <c r="M10" s="173">
        <f t="shared" si="0"/>
        <v>0</v>
      </c>
      <c r="N10" s="59" t="s">
        <v>18</v>
      </c>
      <c r="O10" s="79"/>
    </row>
    <row r="11" spans="1:16" ht="15">
      <c r="A11" s="283" t="s">
        <v>102</v>
      </c>
      <c r="B11" s="293"/>
      <c r="C11" s="293"/>
      <c r="D11" s="58"/>
      <c r="I11" s="58"/>
      <c r="J11" s="63" t="s">
        <v>70</v>
      </c>
      <c r="K11" s="172">
        <f t="shared" si="1"/>
        <v>0</v>
      </c>
      <c r="L11" s="72" t="s">
        <v>23</v>
      </c>
      <c r="M11" s="173">
        <f t="shared" si="0"/>
        <v>0</v>
      </c>
      <c r="N11" s="59" t="s">
        <v>18</v>
      </c>
      <c r="O11" s="79"/>
    </row>
    <row r="12" spans="1:16" ht="14.25">
      <c r="A12" s="60" t="s">
        <v>17</v>
      </c>
      <c r="B12" s="76">
        <v>1</v>
      </c>
      <c r="C12" s="59" t="s">
        <v>18</v>
      </c>
      <c r="D12" s="58"/>
      <c r="I12" s="58"/>
      <c r="J12" s="63" t="s">
        <v>16</v>
      </c>
      <c r="K12" s="172">
        <f t="shared" si="1"/>
        <v>0</v>
      </c>
      <c r="L12" s="72" t="s">
        <v>23</v>
      </c>
      <c r="M12" s="173">
        <f t="shared" si="0"/>
        <v>0</v>
      </c>
      <c r="N12" s="59" t="s">
        <v>18</v>
      </c>
      <c r="O12" s="79"/>
    </row>
    <row r="13" spans="1:16" ht="14.25">
      <c r="A13" s="62" t="s">
        <v>6</v>
      </c>
      <c r="B13" s="76">
        <v>1</v>
      </c>
      <c r="C13" s="59" t="s">
        <v>18</v>
      </c>
      <c r="D13" s="58"/>
      <c r="I13" s="58"/>
      <c r="J13" s="60" t="s">
        <v>71</v>
      </c>
      <c r="K13" s="172">
        <f t="shared" si="1"/>
        <v>0</v>
      </c>
      <c r="L13" s="72" t="s">
        <v>23</v>
      </c>
      <c r="M13" s="173">
        <f t="shared" si="0"/>
        <v>0</v>
      </c>
      <c r="N13" s="59" t="s">
        <v>18</v>
      </c>
      <c r="O13" s="79"/>
    </row>
    <row r="14" spans="1:16" ht="14.25">
      <c r="A14" s="62" t="s">
        <v>13</v>
      </c>
      <c r="B14" s="76">
        <v>1</v>
      </c>
      <c r="C14" s="59" t="s">
        <v>18</v>
      </c>
      <c r="D14" s="58"/>
      <c r="I14" s="58"/>
      <c r="J14" s="62" t="s">
        <v>12</v>
      </c>
      <c r="K14" s="172">
        <f t="shared" si="1"/>
        <v>0</v>
      </c>
      <c r="L14" s="72" t="s">
        <v>23</v>
      </c>
      <c r="M14" s="173">
        <f t="shared" si="0"/>
        <v>0</v>
      </c>
      <c r="N14" s="59" t="s">
        <v>18</v>
      </c>
      <c r="O14" s="79"/>
    </row>
    <row r="15" spans="1:16" ht="14.25">
      <c r="A15" s="60" t="s">
        <v>69</v>
      </c>
      <c r="B15" s="76">
        <v>1</v>
      </c>
      <c r="C15" s="59" t="s">
        <v>18</v>
      </c>
      <c r="D15" s="58"/>
      <c r="I15" s="58"/>
      <c r="J15" s="62" t="s">
        <v>10</v>
      </c>
      <c r="K15" s="172">
        <f t="shared" si="1"/>
        <v>0</v>
      </c>
      <c r="L15" s="72" t="s">
        <v>23</v>
      </c>
      <c r="M15" s="173">
        <f t="shared" si="0"/>
        <v>0</v>
      </c>
      <c r="N15" s="59" t="s">
        <v>18</v>
      </c>
      <c r="O15" s="79"/>
    </row>
    <row r="16" spans="1:16" ht="14.25">
      <c r="A16" s="62" t="s">
        <v>9</v>
      </c>
      <c r="B16" s="76">
        <v>1</v>
      </c>
      <c r="C16" s="59" t="s">
        <v>18</v>
      </c>
      <c r="D16" s="58"/>
      <c r="I16" s="58"/>
      <c r="J16" s="63" t="s">
        <v>72</v>
      </c>
      <c r="K16" s="172">
        <f t="shared" si="1"/>
        <v>0</v>
      </c>
      <c r="L16" s="72" t="s">
        <v>23</v>
      </c>
      <c r="M16" s="173">
        <f t="shared" si="0"/>
        <v>0</v>
      </c>
      <c r="N16" s="59" t="s">
        <v>18</v>
      </c>
      <c r="O16" s="79"/>
    </row>
    <row r="17" spans="1:15" ht="14.25">
      <c r="A17" s="63" t="s">
        <v>7</v>
      </c>
      <c r="B17" s="76">
        <v>1</v>
      </c>
      <c r="C17" s="59" t="s">
        <v>18</v>
      </c>
      <c r="D17" s="58"/>
      <c r="I17" s="58"/>
      <c r="J17" s="63" t="s">
        <v>73</v>
      </c>
      <c r="K17" s="172">
        <f t="shared" si="1"/>
        <v>0</v>
      </c>
      <c r="L17" s="72" t="s">
        <v>23</v>
      </c>
      <c r="M17" s="173">
        <f t="shared" si="0"/>
        <v>0</v>
      </c>
      <c r="N17" s="59" t="s">
        <v>18</v>
      </c>
      <c r="O17" s="79"/>
    </row>
    <row r="18" spans="1:15" ht="14.25">
      <c r="A18" s="62" t="s">
        <v>8</v>
      </c>
      <c r="B18" s="76">
        <v>1</v>
      </c>
      <c r="C18" s="59" t="s">
        <v>18</v>
      </c>
      <c r="D18" s="58"/>
      <c r="I18" s="58"/>
      <c r="J18" s="64" t="s">
        <v>74</v>
      </c>
      <c r="K18" s="172">
        <f t="shared" si="1"/>
        <v>0</v>
      </c>
      <c r="L18" s="72" t="s">
        <v>23</v>
      </c>
      <c r="M18" s="173">
        <f t="shared" si="0"/>
        <v>0</v>
      </c>
      <c r="N18" s="59" t="s">
        <v>18</v>
      </c>
      <c r="O18" s="79"/>
    </row>
    <row r="19" spans="1:15" ht="14.25">
      <c r="A19" s="62" t="s">
        <v>11</v>
      </c>
      <c r="B19" s="76">
        <v>0</v>
      </c>
      <c r="C19" s="59" t="s">
        <v>18</v>
      </c>
      <c r="D19" s="58"/>
      <c r="I19" s="58"/>
      <c r="J19" s="63" t="s">
        <v>75</v>
      </c>
      <c r="K19" s="172">
        <f t="shared" si="1"/>
        <v>0</v>
      </c>
      <c r="L19" s="72" t="s">
        <v>23</v>
      </c>
      <c r="M19" s="173">
        <f t="shared" si="0"/>
        <v>0</v>
      </c>
      <c r="N19" s="59" t="s">
        <v>18</v>
      </c>
      <c r="O19" s="79"/>
    </row>
    <row r="20" spans="1:15" ht="14.25">
      <c r="A20" s="63" t="s">
        <v>70</v>
      </c>
      <c r="B20" s="76">
        <v>0</v>
      </c>
      <c r="C20" s="59" t="s">
        <v>18</v>
      </c>
      <c r="D20" s="58"/>
      <c r="I20" s="58"/>
      <c r="J20" s="64" t="s">
        <v>78</v>
      </c>
      <c r="K20" s="172">
        <f t="shared" si="1"/>
        <v>0</v>
      </c>
      <c r="L20" s="72" t="s">
        <v>23</v>
      </c>
      <c r="M20" s="173">
        <f t="shared" si="0"/>
        <v>0</v>
      </c>
      <c r="N20" s="59" t="s">
        <v>18</v>
      </c>
      <c r="O20" s="79"/>
    </row>
    <row r="21" spans="1:15" ht="14.25">
      <c r="A21" s="63" t="s">
        <v>16</v>
      </c>
      <c r="B21" s="76">
        <v>0</v>
      </c>
      <c r="C21" s="59" t="s">
        <v>18</v>
      </c>
      <c r="D21" s="58"/>
      <c r="I21" s="58"/>
      <c r="J21" s="65" t="s">
        <v>14</v>
      </c>
      <c r="K21" s="172">
        <f t="shared" si="1"/>
        <v>0</v>
      </c>
      <c r="L21" s="72" t="s">
        <v>23</v>
      </c>
      <c r="M21" s="173">
        <f t="shared" si="0"/>
        <v>0</v>
      </c>
      <c r="N21" s="59" t="s">
        <v>18</v>
      </c>
      <c r="O21" s="79"/>
    </row>
    <row r="22" spans="1:15" ht="14.25">
      <c r="A22" s="60" t="s">
        <v>71</v>
      </c>
      <c r="B22" s="76">
        <v>0</v>
      </c>
      <c r="C22" s="59" t="s">
        <v>18</v>
      </c>
      <c r="D22" s="58"/>
      <c r="I22" s="58"/>
      <c r="J22" s="65" t="s">
        <v>79</v>
      </c>
      <c r="K22" s="172">
        <f t="shared" si="1"/>
        <v>0</v>
      </c>
      <c r="L22" s="72" t="s">
        <v>23</v>
      </c>
      <c r="M22" s="173">
        <f t="shared" si="0"/>
        <v>0</v>
      </c>
      <c r="N22" s="59" t="s">
        <v>18</v>
      </c>
      <c r="O22" s="79"/>
    </row>
    <row r="23" spans="1:15" ht="14.25">
      <c r="A23" s="62" t="s">
        <v>12</v>
      </c>
      <c r="B23" s="76">
        <v>0</v>
      </c>
      <c r="C23" s="59" t="s">
        <v>18</v>
      </c>
      <c r="D23" s="58"/>
      <c r="I23" s="58"/>
      <c r="J23" s="65" t="s">
        <v>15</v>
      </c>
      <c r="K23" s="172">
        <f t="shared" si="1"/>
        <v>0</v>
      </c>
      <c r="L23" s="72" t="s">
        <v>23</v>
      </c>
      <c r="M23" s="173">
        <f t="shared" si="0"/>
        <v>0</v>
      </c>
      <c r="N23" s="59" t="s">
        <v>18</v>
      </c>
      <c r="O23" s="79"/>
    </row>
    <row r="24" spans="1:15" ht="14.25">
      <c r="A24" s="62" t="s">
        <v>10</v>
      </c>
      <c r="B24" s="76">
        <v>0</v>
      </c>
      <c r="C24" s="59" t="s">
        <v>18</v>
      </c>
      <c r="D24" s="58"/>
      <c r="I24" s="58"/>
      <c r="J24" s="65" t="s">
        <v>80</v>
      </c>
      <c r="K24" s="172">
        <f t="shared" si="1"/>
        <v>0</v>
      </c>
      <c r="L24" s="72" t="s">
        <v>23</v>
      </c>
      <c r="M24" s="173">
        <f t="shared" si="0"/>
        <v>0</v>
      </c>
      <c r="N24" s="59" t="s">
        <v>18</v>
      </c>
      <c r="O24" s="79"/>
    </row>
    <row r="25" spans="1:15" ht="14.25">
      <c r="A25" s="63" t="s">
        <v>72</v>
      </c>
      <c r="B25" s="76">
        <v>0</v>
      </c>
      <c r="C25" s="59" t="s">
        <v>18</v>
      </c>
      <c r="D25" s="58"/>
      <c r="I25" s="58"/>
      <c r="J25" s="65" t="s">
        <v>59</v>
      </c>
      <c r="K25" s="172" t="e">
        <f>IF(ABS((S69*$B$3+$B$8*R69)*M25)&gt;N107,N107,(S69*$B$3+$B$8*R69)*M25)</f>
        <v>#DIV/0!</v>
      </c>
      <c r="L25" s="72" t="s">
        <v>23</v>
      </c>
      <c r="M25" s="173" t="e">
        <f>$B$6*B34/(S69*$B$3+$B$6+$B$8*R69)</f>
        <v>#DIV/0!</v>
      </c>
      <c r="N25" s="59" t="s">
        <v>18</v>
      </c>
      <c r="O25" s="79"/>
    </row>
    <row r="26" spans="1:15" ht="14.25">
      <c r="A26" s="63" t="s">
        <v>73</v>
      </c>
      <c r="B26" s="76">
        <v>0</v>
      </c>
      <c r="C26" s="59" t="s">
        <v>18</v>
      </c>
      <c r="D26" s="58"/>
      <c r="I26" s="58"/>
      <c r="J26" s="81" t="s">
        <v>60</v>
      </c>
      <c r="K26" s="172" t="e">
        <f>IF(ABS((S70*$B$3+$B$8*R70)*M26)&gt;N108,N108,(S70*$B$3+$B$8*R70)*M26)</f>
        <v>#DIV/0!</v>
      </c>
      <c r="L26" s="72" t="s">
        <v>23</v>
      </c>
      <c r="M26" s="173" t="e">
        <f>$B$6*B35/(S70*$B$3+$B$6+$B$8*R70)</f>
        <v>#DIV/0!</v>
      </c>
      <c r="N26" s="59" t="s">
        <v>18</v>
      </c>
      <c r="O26" s="79"/>
    </row>
    <row r="27" spans="1:15" ht="14.25">
      <c r="A27" s="64" t="s">
        <v>74</v>
      </c>
      <c r="B27" s="76">
        <v>0</v>
      </c>
      <c r="C27" s="59" t="s">
        <v>18</v>
      </c>
      <c r="D27" s="58"/>
      <c r="I27" s="58"/>
      <c r="J27" s="65" t="s">
        <v>61</v>
      </c>
      <c r="K27" s="172" t="e">
        <f>IF(ABS((S71*$B$3+$B$8*R71)*M27)&gt;N109,N109,(S71*$B$3+$B$8*R71)*M27)</f>
        <v>#DIV/0!</v>
      </c>
      <c r="L27" s="72" t="s">
        <v>23</v>
      </c>
      <c r="M27" s="173" t="e">
        <f>$B$6*B36/(S71*$B$3+$B$6+$B$8*R71)</f>
        <v>#DIV/0!</v>
      </c>
      <c r="N27" s="59" t="s">
        <v>18</v>
      </c>
      <c r="O27" s="79"/>
    </row>
    <row r="28" spans="1:15" ht="14.25">
      <c r="A28" s="63" t="s">
        <v>75</v>
      </c>
      <c r="B28" s="76">
        <v>0</v>
      </c>
      <c r="C28" s="59" t="s">
        <v>18</v>
      </c>
      <c r="D28" s="58"/>
      <c r="I28" s="58"/>
      <c r="J28" s="65" t="s">
        <v>256</v>
      </c>
      <c r="K28" s="172">
        <f>IF(ABS((S72*$B$3+$B$8*R72)*M28)&gt;N110,N110,(S72*$B$3+$B$8*R72)*M28)</f>
        <v>0</v>
      </c>
      <c r="L28" s="72" t="s">
        <v>23</v>
      </c>
      <c r="M28" s="173">
        <f>$B$6*B37/(S72*$B$3+$B$6+$B$8*R72)</f>
        <v>0</v>
      </c>
      <c r="N28" s="59" t="s">
        <v>18</v>
      </c>
      <c r="O28" s="79"/>
    </row>
    <row r="29" spans="1:15" ht="14.25">
      <c r="A29" s="64" t="s">
        <v>78</v>
      </c>
      <c r="B29" s="76">
        <v>0</v>
      </c>
      <c r="C29" s="59" t="s">
        <v>18</v>
      </c>
      <c r="D29" s="58"/>
      <c r="H29" s="55"/>
      <c r="I29" s="58"/>
      <c r="O29" s="79"/>
    </row>
    <row r="30" spans="1:15" ht="14.25">
      <c r="A30" s="65" t="s">
        <v>14</v>
      </c>
      <c r="B30" s="76">
        <v>0</v>
      </c>
      <c r="C30" s="59" t="s">
        <v>18</v>
      </c>
      <c r="D30" s="58"/>
      <c r="H30" s="55"/>
      <c r="I30" s="58"/>
      <c r="J30" s="212"/>
      <c r="K30" s="259"/>
      <c r="L30" s="89"/>
      <c r="M30" s="259"/>
      <c r="N30" s="185"/>
      <c r="O30" s="79"/>
    </row>
    <row r="31" spans="1:15" ht="14.25">
      <c r="A31" s="65" t="s">
        <v>79</v>
      </c>
      <c r="B31" s="76">
        <v>0</v>
      </c>
      <c r="C31" s="59" t="s">
        <v>18</v>
      </c>
      <c r="D31" s="58"/>
      <c r="H31" s="55"/>
      <c r="I31" s="55"/>
      <c r="J31" s="55"/>
      <c r="K31" s="55"/>
      <c r="L31" s="80"/>
      <c r="M31" s="55"/>
      <c r="N31" s="79"/>
      <c r="O31" s="79"/>
    </row>
    <row r="32" spans="1:15" ht="14.25">
      <c r="A32" s="65" t="s">
        <v>15</v>
      </c>
      <c r="B32" s="76">
        <v>0</v>
      </c>
      <c r="C32" s="59" t="s">
        <v>18</v>
      </c>
      <c r="D32" s="58"/>
      <c r="H32" s="55"/>
      <c r="I32" s="55"/>
      <c r="J32" s="55"/>
      <c r="K32" s="55"/>
      <c r="L32" s="80"/>
      <c r="M32" s="55"/>
      <c r="N32" s="79"/>
      <c r="O32" s="79"/>
    </row>
    <row r="33" spans="1:20" ht="14.25">
      <c r="A33" s="65" t="s">
        <v>80</v>
      </c>
      <c r="B33" s="76">
        <v>0</v>
      </c>
      <c r="C33" s="59" t="s">
        <v>18</v>
      </c>
      <c r="D33" s="58"/>
      <c r="I33" s="55"/>
      <c r="J33" s="55"/>
      <c r="K33" s="55"/>
      <c r="L33" s="80"/>
      <c r="M33" s="55"/>
      <c r="N33" s="79"/>
      <c r="O33" s="79"/>
    </row>
    <row r="34" spans="1:20" ht="14.25">
      <c r="A34" s="65" t="s">
        <v>59</v>
      </c>
      <c r="B34" s="76">
        <v>0</v>
      </c>
      <c r="C34" s="59" t="s">
        <v>18</v>
      </c>
      <c r="D34" s="58"/>
      <c r="I34" s="55"/>
      <c r="J34" s="55"/>
      <c r="K34" s="55"/>
      <c r="L34" s="80"/>
      <c r="M34" s="55"/>
      <c r="N34" s="79"/>
      <c r="O34" s="79"/>
    </row>
    <row r="35" spans="1:20" ht="14.25">
      <c r="A35" s="81" t="s">
        <v>60</v>
      </c>
      <c r="B35" s="76">
        <v>0</v>
      </c>
      <c r="C35" s="82" t="s">
        <v>18</v>
      </c>
      <c r="D35" s="58"/>
      <c r="H35" s="55"/>
      <c r="I35" s="55"/>
      <c r="J35" s="55"/>
      <c r="K35" s="55"/>
      <c r="L35" s="80"/>
      <c r="M35" s="55"/>
      <c r="N35" s="79"/>
      <c r="O35" s="79"/>
    </row>
    <row r="36" spans="1:20" ht="14.25">
      <c r="A36" s="65" t="s">
        <v>61</v>
      </c>
      <c r="B36" s="76">
        <v>0</v>
      </c>
      <c r="C36" s="59" t="s">
        <v>18</v>
      </c>
      <c r="D36" s="58"/>
      <c r="H36" s="55"/>
      <c r="I36" s="55"/>
      <c r="J36" s="55"/>
      <c r="K36" s="55"/>
      <c r="L36" s="80"/>
      <c r="M36" s="55"/>
      <c r="N36" s="79"/>
      <c r="O36" s="79"/>
    </row>
    <row r="37" spans="1:20" ht="14.25">
      <c r="A37" s="65" t="s">
        <v>256</v>
      </c>
      <c r="B37" s="76">
        <v>0</v>
      </c>
      <c r="C37" s="59" t="s">
        <v>18</v>
      </c>
      <c r="D37" s="58"/>
      <c r="J37" s="55"/>
      <c r="K37" s="55"/>
      <c r="L37" s="80"/>
      <c r="M37" s="55"/>
      <c r="N37" s="79"/>
      <c r="O37" s="79"/>
    </row>
    <row r="38" spans="1:20">
      <c r="D38" s="58"/>
      <c r="J38" s="55"/>
      <c r="K38" s="55"/>
      <c r="L38" s="80"/>
      <c r="M38" s="55"/>
      <c r="N38" s="79"/>
      <c r="O38" s="79"/>
    </row>
    <row r="39" spans="1:20">
      <c r="A39" s="212"/>
      <c r="B39" s="216"/>
      <c r="C39" s="185"/>
      <c r="D39" s="58"/>
    </row>
    <row r="40" spans="1:20">
      <c r="A40" s="55"/>
      <c r="B40" s="80"/>
      <c r="C40" s="79"/>
    </row>
    <row r="41" spans="1:20">
      <c r="A41" s="55"/>
      <c r="B41" s="80"/>
      <c r="C41" s="79"/>
    </row>
    <row r="42" spans="1:20">
      <c r="A42" s="55"/>
      <c r="B42" s="55"/>
      <c r="C42" s="79"/>
    </row>
    <row r="43" spans="1:20" ht="15.75">
      <c r="A43" s="55"/>
      <c r="B43" s="55"/>
      <c r="C43" s="79"/>
      <c r="M43" s="56" t="s">
        <v>56</v>
      </c>
      <c r="N43" s="274">
        <f>IF(B9&lt;minWindSpd,minWindSpd,B9)</f>
        <v>4.4130000000000003</v>
      </c>
      <c r="O43" s="59" t="s">
        <v>0</v>
      </c>
    </row>
    <row r="44" spans="1:20">
      <c r="A44" s="55"/>
      <c r="B44" s="55"/>
      <c r="C44" s="79"/>
      <c r="M44" s="273" t="str">
        <f>IF(B9&lt;minWindSpd,CONCATENATE("Windspeed has been set at ",TEXT(minWindSpd,"0.##")," m/s, which is the minimum windspeed for the mass transfer calculations"),"")</f>
        <v/>
      </c>
    </row>
    <row r="45" spans="1:20">
      <c r="A45" s="55"/>
      <c r="B45" s="55"/>
      <c r="C45" s="79"/>
    </row>
    <row r="46" spans="1:20" ht="14.25">
      <c r="A46" s="55"/>
      <c r="B46" s="55"/>
      <c r="C46" s="79"/>
      <c r="M46" s="83" t="s">
        <v>21</v>
      </c>
      <c r="N46" s="83" t="s">
        <v>107</v>
      </c>
      <c r="O46" s="83" t="s">
        <v>103</v>
      </c>
      <c r="P46" s="83" t="s">
        <v>108</v>
      </c>
      <c r="Q46" s="83" t="s">
        <v>104</v>
      </c>
      <c r="R46" s="83" t="s">
        <v>35</v>
      </c>
      <c r="S46" s="83" t="s">
        <v>112</v>
      </c>
      <c r="T46" s="84"/>
    </row>
    <row r="47" spans="1:20">
      <c r="A47" s="55"/>
      <c r="B47" s="55"/>
      <c r="C47" s="79"/>
      <c r="M47" s="60" t="s">
        <v>17</v>
      </c>
      <c r="N47" s="105">
        <f>$F$3/($F$4*IF(ABS('Chemical Properties'!F41)&gt;0,'Chemical Properties'!F41,'Chemical Properties'!F4))</f>
        <v>544.51219512195132</v>
      </c>
      <c r="O47" s="105">
        <f>$F$6/($F$7*IF(ABS('Chemical Properties'!G41)&gt;0,'Chemical Properties'!G41,'Chemical Properties'!G4))</f>
        <v>1.0055555555555558</v>
      </c>
      <c r="P47" s="105">
        <f>IF($N$43&lt;3.25,0.00000278*(IF(ABS('Chemical Properties'!F41)&gt;0,'Chemical Properties'!F41,'Chemical Properties'!F4)/$F$8)^(2/3),IF($N$80&lt;14,IF($N$79&lt;0.3,0.000001+0.0144*$N$79^2.2*N47^(-0.5),0.000001+0.00341*$N$79*N47^(-0.5)),IF($N$80&lt;=51.2,(0.000000002605*$N$80+0.0000001277)*$N$43^2*(IF(ABS('Chemical Properties'!F41)&gt;0,'Chemical Properties'!F41,'Chemical Properties'!F4)/$F$8)^(2/3),0.000000261*$N$43^2*(IF(ABS('Chemical Properties'!F41)&gt;0,'Chemical Properties'!F41,'Chemical Properties'!F4)/$F$8)^(2/3))))</f>
        <v>8.1127543656047231E-6</v>
      </c>
      <c r="Q47" s="105">
        <f t="shared" ref="Q47:Q72" si="2">4.82*10^(-3)*$N$43^(0.78)*O47^(-0.67)*(2*($B$3/3.14)^0.5)^(-0.11)</f>
        <v>1.1271679104395306E-2</v>
      </c>
      <c r="R47" s="105">
        <f>IF(ABS('Chemical Properties'!E41)&gt;0,'Chemical Properties'!E41,'Chemical Properties'!E4)/($F$5*($B$4+273.15))</f>
        <v>2.0252227021678562E-4</v>
      </c>
      <c r="S47" s="105">
        <f>(P47*R47*Q47)/(R47*Q47+P47)</f>
        <v>1.7814904346105778E-6</v>
      </c>
      <c r="T47" s="55"/>
    </row>
    <row r="48" spans="1:20">
      <c r="M48" s="62" t="s">
        <v>6</v>
      </c>
      <c r="N48" s="105">
        <f>$F$3/($F$4*IF(ABS('Chemical Properties'!F42)&gt;0,'Chemical Properties'!F42,'Chemical Properties'!F5))</f>
        <v>911.22448979591843</v>
      </c>
      <c r="O48" s="105">
        <f>$F$6/($F$7*IF(ABS('Chemical Properties'!G42)&gt;0,'Chemical Properties'!G42,'Chemical Properties'!G5))</f>
        <v>1.714015151515152</v>
      </c>
      <c r="P48" s="105">
        <f>IF($N$43&lt;3.25,0.00000278*(IF(ABS('Chemical Properties'!F42)&gt;0,'Chemical Properties'!F42,'Chemical Properties'!F5)/$F$8)^(2/3),IF($N$80&lt;14,IF($N$79&lt;0.3,0.000001+0.0144*$N$79^2.2*N48^(-0.5),0.000001+0.00341*$N$79*N48^(-0.5)),IF($N$80&lt;=51.2,(0.000000002605*$N$80+0.0000001277)*$N$43^2*(IF(ABS('Chemical Properties'!F42)&gt;0,'Chemical Properties'!F42,'Chemical Properties'!F5)/$F$8)^(2/3),0.000000261*$N$43^2*(IF(ABS('Chemical Properties'!F42)&gt;0,'Chemical Properties'!F42,'Chemical Properties'!F5)/$F$8)^(2/3))))</f>
        <v>6.4983062343247953E-6</v>
      </c>
      <c r="Q48" s="105">
        <f t="shared" si="2"/>
        <v>7.8851664071886377E-3</v>
      </c>
      <c r="R48" s="105">
        <f>IF(ABS('Chemical Properties'!E42)&gt;0,'Chemical Properties'!E42,'Chemical Properties'!E5)/($F$5*($B$4+273.15))</f>
        <v>0.24833617781213699</v>
      </c>
      <c r="S48" s="105">
        <f t="shared" ref="S48:S68" si="3">(P48*R48*Q48)/(R48*Q48+P48)</f>
        <v>6.4768125608510938E-6</v>
      </c>
      <c r="T48" s="55"/>
    </row>
    <row r="49" spans="13:20">
      <c r="M49" s="62" t="s">
        <v>13</v>
      </c>
      <c r="N49" s="105">
        <f>$F$3/($F$4*IF(ABS('Chemical Properties'!F43)&gt;0,'Chemical Properties'!F43,'Chemical Properties'!F6))</f>
        <v>893</v>
      </c>
      <c r="O49" s="105">
        <f>$F$6/($F$7*IF(ABS('Chemical Properties'!G43)&gt;0,'Chemical Properties'!G43,'Chemical Properties'!G6))</f>
        <v>1.4503205128205132</v>
      </c>
      <c r="P49" s="105">
        <f>IF($N$43&lt;3.25,0.00000278*(IF(ABS('Chemical Properties'!F43)&gt;0,'Chemical Properties'!F43,'Chemical Properties'!F6)/$F$8)^(2/3),IF($N$80&lt;14,IF($N$79&lt;0.3,0.000001+0.0144*$N$79^2.2*N49^(-0.5),0.000001+0.00341*$N$79*N49^(-0.5)),IF($N$80&lt;=51.2,(0.000000002605*$N$80+0.0000001277)*$N$43^2*(IF(ABS('Chemical Properties'!F43)&gt;0,'Chemical Properties'!F43,'Chemical Properties'!F6)/$F$8)^(2/3),0.000000261*$N$43^2*(IF(ABS('Chemical Properties'!F43)&gt;0,'Chemical Properties'!F43,'Chemical Properties'!F6)/$F$8)^(2/3))))</f>
        <v>6.5541280333304767E-6</v>
      </c>
      <c r="Q49" s="105">
        <f t="shared" si="2"/>
        <v>8.819009491745626E-3</v>
      </c>
      <c r="R49" s="105">
        <f>IF(ABS('Chemical Properties'!E43)&gt;0,'Chemical Properties'!E43,'Chemical Properties'!E6)/($F$5*($B$4+273.15))</f>
        <v>1.345265974380653</v>
      </c>
      <c r="S49" s="105">
        <f t="shared" si="3"/>
        <v>6.5505092546946103E-6</v>
      </c>
      <c r="T49" s="55"/>
    </row>
    <row r="50" spans="13:20">
      <c r="M50" s="60" t="s">
        <v>69</v>
      </c>
      <c r="N50" s="105">
        <f>$F$3/($F$4*IF(ABS('Chemical Properties'!F44)&gt;0,'Chemical Properties'!F44,'Chemical Properties'!F7))</f>
        <v>911.22448979591843</v>
      </c>
      <c r="O50" s="105">
        <f>$F$6/($F$7*IF(ABS('Chemical Properties'!G44)&gt;0,'Chemical Properties'!G44,'Chemical Properties'!G7))</f>
        <v>1.866749174917492</v>
      </c>
      <c r="P50" s="105">
        <f>IF($N$43&lt;3.25,0.00000278*(IF(ABS('Chemical Properties'!F44)&gt;0,'Chemical Properties'!F44,'Chemical Properties'!F7)/$F$8)^(2/3),IF($N$80&lt;14,IF($N$79&lt;0.3,0.000001+0.0144*$N$79^2.2*N50^(-0.5),0.000001+0.00341*$N$79*N50^(-0.5)),IF($N$80&lt;=51.2,(0.000000002605*$N$80+0.0000001277)*$N$43^2*(IF(ABS('Chemical Properties'!F44)&gt;0,'Chemical Properties'!F44,'Chemical Properties'!F7)/$F$8)^(2/3),0.000000261*$N$43^2*(IF(ABS('Chemical Properties'!F44)&gt;0,'Chemical Properties'!F44,'Chemical Properties'!F7)/$F$8)^(2/3))))</f>
        <v>6.4983062343247953E-6</v>
      </c>
      <c r="Q50" s="105">
        <f t="shared" si="2"/>
        <v>7.4468582025688963E-3</v>
      </c>
      <c r="R50" s="105">
        <f>IF(ABS('Chemical Properties'!E44)&gt;0,'Chemical Properties'!E44,'Chemical Properties'!E7)/($F$5*($B$4+273.15))</f>
        <v>2.4881307483776518E-3</v>
      </c>
      <c r="S50" s="105">
        <f t="shared" si="3"/>
        <v>4.8110134131648653E-6</v>
      </c>
      <c r="T50" s="55"/>
    </row>
    <row r="51" spans="13:20">
      <c r="M51" s="62" t="s">
        <v>9</v>
      </c>
      <c r="N51" s="105">
        <f>$F$3/($F$4*IF(ABS('Chemical Properties'!F45)&gt;0,'Chemical Properties'!F45,'Chemical Properties'!F8))</f>
        <v>1190.6666666666667</v>
      </c>
      <c r="O51" s="105">
        <f>$F$6/($F$7*IF(ABS('Chemical Properties'!G45)&gt;0,'Chemical Properties'!G45,'Chemical Properties'!G8))</f>
        <v>2.5564971751412435</v>
      </c>
      <c r="P51" s="105">
        <f>IF($N$43&lt;3.25,0.00000278*(IF(ABS('Chemical Properties'!F45)&gt;0,'Chemical Properties'!F45,'Chemical Properties'!F8)/$F$8)^(2/3),IF($N$80&lt;14,IF($N$79&lt;0.3,0.000001+0.0144*$N$79^2.2*N51^(-0.5),0.000001+0.00341*$N$79*N51^(-0.5)),IF($N$80&lt;=51.2,(0.000000002605*$N$80+0.0000001277)*$N$43^2*(IF(ABS('Chemical Properties'!F45)&gt;0,'Chemical Properties'!F45,'Chemical Properties'!F8)/$F$8)^(2/3),0.000000261*$N$43^2*(IF(ABS('Chemical Properties'!F45)&gt;0,'Chemical Properties'!F45,'Chemical Properties'!F8)/$F$8)^(2/3))))</f>
        <v>5.8100159727354958E-6</v>
      </c>
      <c r="Q51" s="105">
        <f t="shared" si="2"/>
        <v>6.0322359491633316E-3</v>
      </c>
      <c r="R51" s="105">
        <f>IF(ABS('Chemical Properties'!E45)&gt;0,'Chemical Properties'!E45,'Chemical Properties'!E8)/($F$5*($B$4+273.15))</f>
        <v>2.1498517915320318E-2</v>
      </c>
      <c r="S51" s="105">
        <f t="shared" si="3"/>
        <v>5.5608813351632446E-6</v>
      </c>
      <c r="T51" s="55"/>
    </row>
    <row r="52" spans="13:20">
      <c r="M52" s="63" t="s">
        <v>7</v>
      </c>
      <c r="N52" s="105">
        <f>$F$3/($F$4*IF(ABS('Chemical Properties'!F46)&gt;0,'Chemical Properties'!F46,'Chemical Properties'!F9))</f>
        <v>1257.7464788732395</v>
      </c>
      <c r="O52" s="105">
        <f>$F$6/($F$7*IF(ABS('Chemical Properties'!G46)&gt;0,'Chemical Properties'!G46,'Chemical Properties'!G9))</f>
        <v>1.7538759689922483</v>
      </c>
      <c r="P52" s="105">
        <f>IF($N$43&lt;3.25,0.00000278*(IF(ABS('Chemical Properties'!F46)&gt;0,'Chemical Properties'!F46,'Chemical Properties'!F9)/$F$8)^(2/3),IF($N$80&lt;14,IF($N$79&lt;0.3,0.000001+0.0144*$N$79^2.2*N52^(-0.5),0.000001+0.00341*$N$79*N52^(-0.5)),IF($N$80&lt;=51.2,(0.000000002605*$N$80+0.0000001277)*$N$43^2*(IF(ABS('Chemical Properties'!F46)&gt;0,'Chemical Properties'!F46,'Chemical Properties'!F9)/$F$8)^(2/3),0.000000261*$N$43^2*(IF(ABS('Chemical Properties'!F46)&gt;0,'Chemical Properties'!F46,'Chemical Properties'!F9)/$F$8)^(2/3))))</f>
        <v>5.6799914668240047E-6</v>
      </c>
      <c r="Q52" s="105">
        <f t="shared" si="2"/>
        <v>7.7646419691796134E-3</v>
      </c>
      <c r="R52" s="105">
        <f>IF(ABS('Chemical Properties'!E46)&gt;0,'Chemical Properties'!E46,'Chemical Properties'!E9)/($F$5*($B$4+273.15))</f>
        <v>0.64985168025605933</v>
      </c>
      <c r="S52" s="105">
        <f t="shared" si="3"/>
        <v>5.6736048466726502E-6</v>
      </c>
      <c r="T52" s="55"/>
    </row>
    <row r="53" spans="13:20">
      <c r="M53" s="62" t="s">
        <v>8</v>
      </c>
      <c r="N53" s="105">
        <f>$F$3/($F$4*IF(ABS('Chemical Properties'!F47)&gt;0,'Chemical Properties'!F47,'Chemical Properties'!F10))</f>
        <v>1144.8717948717949</v>
      </c>
      <c r="O53" s="105">
        <f>$F$6/($F$7*IF(ABS('Chemical Properties'!G47)&gt;0,'Chemical Properties'!G47,'Chemical Properties'!G10))</f>
        <v>2.0111111111111115</v>
      </c>
      <c r="P53" s="105">
        <f>IF($N$43&lt;3.25,0.00000278*(IF(ABS('Chemical Properties'!F47)&gt;0,'Chemical Properties'!F47,'Chemical Properties'!F10)/$F$8)^(2/3),IF($N$80&lt;14,IF($N$79&lt;0.3,0.000001+0.0144*$N$79^2.2*N53^(-0.5),0.000001+0.00341*$N$79*N53^(-0.5)),IF($N$80&lt;=51.2,(0.000000002605*$N$80+0.0000001277)*$N$43^2*(IF(ABS('Chemical Properties'!F47)&gt;0,'Chemical Properties'!F47,'Chemical Properties'!F10)/$F$8)^(2/3),0.000000261*$N$43^2*(IF(ABS('Chemical Properties'!F47)&gt;0,'Chemical Properties'!F47,'Chemical Properties'!F10)/$F$8)^(2/3))))</f>
        <v>5.9052730611342543E-6</v>
      </c>
      <c r="Q53" s="105">
        <f t="shared" si="2"/>
        <v>7.0843256937715617E-3</v>
      </c>
      <c r="R53" s="105">
        <f>IF(ABS('Chemical Properties'!E47)&gt;0,'Chemical Properties'!E47,'Chemical Properties'!E10)/($F$5*($B$4+273.15))</f>
        <v>0.35074186578203753</v>
      </c>
      <c r="S53" s="105">
        <f t="shared" si="3"/>
        <v>5.8912719363223635E-6</v>
      </c>
      <c r="T53" s="55"/>
    </row>
    <row r="54" spans="13:20">
      <c r="M54" s="62" t="s">
        <v>11</v>
      </c>
      <c r="N54" s="105">
        <f>$F$3/($F$4*IF(ABS('Chemical Properties'!F48)&gt;0,'Chemical Properties'!F48,'Chemical Properties'!F11))</f>
        <v>1116.25</v>
      </c>
      <c r="O54" s="105">
        <f>$F$6/($F$7*IF(ABS('Chemical Properties'!G48)&gt;0,'Chemical Properties'!G48,'Chemical Properties'!G11))</f>
        <v>2.1244131455399065</v>
      </c>
      <c r="P54" s="105">
        <f>IF($N$43&lt;3.25,0.00000278*(IF(ABS('Chemical Properties'!F48)&gt;0,'Chemical Properties'!F48,'Chemical Properties'!F11)/$F$8)^(2/3),IF($N$80&lt;14,IF($N$79&lt;0.3,0.000001+0.0144*$N$79^2.2*N54^(-0.5),0.000001+0.00341*$N$79*N54^(-0.5)),IF($N$80&lt;=51.2,(0.000000002605*$N$80+0.0000001277)*$N$43^2*(IF(ABS('Chemical Properties'!F48)&gt;0,'Chemical Properties'!F48,'Chemical Properties'!F11)/$F$8)^(2/3),0.000000261*$N$43^2*(IF(ABS('Chemical Properties'!F48)&gt;0,'Chemical Properties'!F48,'Chemical Properties'!F11)/$F$8)^(2/3))))</f>
        <v>5.967763135305665E-6</v>
      </c>
      <c r="Q54" s="105">
        <f t="shared" si="2"/>
        <v>6.8288970631828422E-3</v>
      </c>
      <c r="R54" s="105">
        <f>IF(ABS('Chemical Properties'!E48)&gt;0,'Chemical Properties'!E48,'Chemical Properties'!E11)/($F$5*($B$4+273.15))</f>
        <v>0.12240356991124406</v>
      </c>
      <c r="S54" s="105">
        <f t="shared" si="3"/>
        <v>5.9254584098474044E-6</v>
      </c>
      <c r="T54" s="55"/>
    </row>
    <row r="55" spans="13:20">
      <c r="M55" s="63" t="s">
        <v>70</v>
      </c>
      <c r="N55" s="105">
        <f>$F$3/($F$4*IF(ABS('Chemical Properties'!F49)&gt;0,'Chemical Properties'!F49,'Chemical Properties'!F12))</f>
        <v>826.85185185185185</v>
      </c>
      <c r="O55" s="105">
        <f>$F$6/($F$7*IF(ABS('Chemical Properties'!G49)&gt;0,'Chemical Properties'!G49,'Chemical Properties'!G12))</f>
        <v>0.60575635876840694</v>
      </c>
      <c r="P55" s="105">
        <f>IF($N$43&lt;3.25,0.00000278*(IF(ABS('Chemical Properties'!F49)&gt;0,'Chemical Properties'!F49,'Chemical Properties'!F12)/$F$8)^(2/3),IF($N$80&lt;14,IF($N$79&lt;0.3,0.000001+0.0144*$N$79^2.2*N55^(-0.5),0.000001+0.00341*$N$79*N55^(-0.5)),IF($N$80&lt;=51.2,(0.000000002605*$N$80+0.0000001277)*$N$43^2*(IF(ABS('Chemical Properties'!F49)&gt;0,'Chemical Properties'!F49,'Chemical Properties'!F12)/$F$8)^(2/3),0.000000261*$N$43^2*(IF(ABS('Chemical Properties'!F49)&gt;0,'Chemical Properties'!F49,'Chemical Properties'!F12)/$F$8)^(2/3))))</f>
        <v>6.7720191672825951E-6</v>
      </c>
      <c r="Q55" s="105">
        <f t="shared" si="2"/>
        <v>1.5829275406294068E-2</v>
      </c>
      <c r="R55" s="105">
        <f>IF(ABS('Chemical Properties'!E49)&gt;0,'Chemical Properties'!E49,'Chemical Properties'!E12)/($F$5*($B$4+273.15))</f>
        <v>3.2759646347154772</v>
      </c>
      <c r="S55" s="105">
        <f t="shared" si="3"/>
        <v>6.7711349084522303E-6</v>
      </c>
      <c r="T55" s="55"/>
    </row>
    <row r="56" spans="13:20">
      <c r="M56" s="63" t="s">
        <v>16</v>
      </c>
      <c r="N56" s="105">
        <f>$F$3/($F$4*IF(ABS('Chemical Properties'!F50)&gt;0,'Chemical Properties'!F50,'Chemical Properties'!F13))</f>
        <v>633.33333333333337</v>
      </c>
      <c r="O56" s="105">
        <f>$F$6/($F$7*IF(ABS('Chemical Properties'!G50)&gt;0,'Chemical Properties'!G50,'Chemical Properties'!G13))</f>
        <v>0.98829984034316398</v>
      </c>
      <c r="P56" s="105">
        <f>IF($N$43&lt;3.25,0.00000278*(IF(ABS('Chemical Properties'!F50)&gt;0,'Chemical Properties'!F50,'Chemical Properties'!F13)/$F$8)^(2/3),IF($N$80&lt;14,IF($N$79&lt;0.3,0.000001+0.0144*$N$79^2.2*N56^(-0.5),0.000001+0.00341*$N$79*N56^(-0.5)),IF($N$80&lt;=51.2,(0.000000002605*$N$80+0.0000001277)*$N$43^2*(IF(ABS('Chemical Properties'!F50)&gt;0,'Chemical Properties'!F50,'Chemical Properties'!F13)/$F$8)^(2/3),0.000000261*$N$43^2*(IF(ABS('Chemical Properties'!F50)&gt;0,'Chemical Properties'!F50,'Chemical Properties'!F13)/$F$8)^(2/3))))</f>
        <v>7.5951616262973213E-6</v>
      </c>
      <c r="Q56" s="105">
        <f t="shared" si="2"/>
        <v>1.1403160501020509E-2</v>
      </c>
      <c r="R56" s="105">
        <f>IF(ABS('Chemical Properties'!E50)&gt;0,'Chemical Properties'!E50,'Chemical Properties'!E13)/($F$5*($B$4+273.15))</f>
        <v>8.0119501492544612E-8</v>
      </c>
      <c r="S56" s="105">
        <f t="shared" si="3"/>
        <v>9.1350564996324748E-10</v>
      </c>
      <c r="T56" s="55"/>
    </row>
    <row r="57" spans="13:20">
      <c r="M57" s="60" t="s">
        <v>71</v>
      </c>
      <c r="N57" s="105">
        <f>$F$3/($F$4*IF(ABS('Chemical Properties'!F51)&gt;0,'Chemical Properties'!F51,'Chemical Properties'!F14))</f>
        <v>1144.8717948717949</v>
      </c>
      <c r="O57" s="105">
        <f>$F$6/($F$7*IF(ABS('Chemical Properties'!G51)&gt;0,'Chemical Properties'!G51,'Chemical Properties'!G14))</f>
        <v>2.0111111111111115</v>
      </c>
      <c r="P57" s="105">
        <f>IF($N$43&lt;3.25,0.00000278*(IF(ABS('Chemical Properties'!F51)&gt;0,'Chemical Properties'!F51,'Chemical Properties'!F14)/$F$8)^(2/3),IF($N$80&lt;14,IF($N$79&lt;0.3,0.000001+0.0144*$N$79^2.2*N57^(-0.5),0.000001+0.00341*$N$79*N57^(-0.5)),IF($N$80&lt;=51.2,(0.000000002605*$N$80+0.0000001277)*$N$43^2*(IF(ABS('Chemical Properties'!F51)&gt;0,'Chemical Properties'!F51,'Chemical Properties'!F14)/$F$8)^(2/3),0.000000261*$N$43^2*(IF(ABS('Chemical Properties'!F51)&gt;0,'Chemical Properties'!F51,'Chemical Properties'!F14)/$F$8)^(2/3))))</f>
        <v>5.9052730611342543E-6</v>
      </c>
      <c r="Q57" s="105">
        <f t="shared" si="2"/>
        <v>7.0843256937715617E-3</v>
      </c>
      <c r="R57" s="105">
        <f>IF(ABS('Chemical Properties'!E51)&gt;0,'Chemical Properties'!E51,'Chemical Properties'!E14)/($F$5*($B$4+273.15))</f>
        <v>6.1438639408202744E-3</v>
      </c>
      <c r="S57" s="105">
        <f t="shared" si="3"/>
        <v>5.1997913023969939E-6</v>
      </c>
      <c r="T57" s="55"/>
    </row>
    <row r="58" spans="13:20">
      <c r="M58" s="62" t="s">
        <v>12</v>
      </c>
      <c r="N58" s="105">
        <f>$F$3/($F$4*IF(ABS('Chemical Properties'!F52)&gt;0,'Chemical Properties'!F52,'Chemical Properties'!F15))</f>
        <v>1038.3720930232557</v>
      </c>
      <c r="O58" s="105">
        <f>$F$6/($F$7*IF(ABS('Chemical Properties'!G52)&gt;0,'Chemical Properties'!G52,'Chemical Properties'!G15))</f>
        <v>1.7337164750957856</v>
      </c>
      <c r="P58" s="105">
        <f>IF($N$43&lt;3.25,0.00000278*(IF(ABS('Chemical Properties'!F52)&gt;0,'Chemical Properties'!F52,'Chemical Properties'!F15)/$F$8)^(2/3),IF($N$80&lt;14,IF($N$79&lt;0.3,0.000001+0.0144*$N$79^2.2*N58^(-0.5),0.000001+0.00341*$N$79*N58^(-0.5)),IF($N$80&lt;=51.2,(0.000000002605*$N$80+0.0000001277)*$N$43^2*(IF(ABS('Chemical Properties'!F52)&gt;0,'Chemical Properties'!F52,'Chemical Properties'!F15)/$F$8)^(2/3),0.000000261*$N$43^2*(IF(ABS('Chemical Properties'!F52)&gt;0,'Chemical Properties'!F52,'Chemical Properties'!F15)/$F$8)^(2/3))))</f>
        <v>6.1506864456244684E-6</v>
      </c>
      <c r="Q58" s="105">
        <f t="shared" si="2"/>
        <v>7.8250184813944915E-3</v>
      </c>
      <c r="R58" s="105">
        <f>IF(ABS('Chemical Properties'!E52)&gt;0,'Chemical Properties'!E52,'Chemical Properties'!E15)/($F$5*($B$4+273.15))</f>
        <v>0.29554898334933111</v>
      </c>
      <c r="S58" s="105">
        <f t="shared" si="3"/>
        <v>6.1343717551895001E-6</v>
      </c>
      <c r="T58" s="55"/>
    </row>
    <row r="59" spans="13:20">
      <c r="M59" s="62" t="s">
        <v>10</v>
      </c>
      <c r="N59" s="105">
        <f>$F$3/($F$4*IF(ABS('Chemical Properties'!F53)&gt;0,'Chemical Properties'!F53,'Chemical Properties'!F16))</f>
        <v>981.31868131868146</v>
      </c>
      <c r="O59" s="105">
        <f>$F$6/($F$7*IF(ABS('Chemical Properties'!G53)&gt;0,'Chemical Properties'!G53,'Chemical Properties'!G16))</f>
        <v>1.8394308943089432</v>
      </c>
      <c r="P59" s="105">
        <f>IF($N$43&lt;3.25,0.00000278*(IF(ABS('Chemical Properties'!F53)&gt;0,'Chemical Properties'!F53,'Chemical Properties'!F16)/$F$8)^(2/3),IF($N$80&lt;14,IF($N$79&lt;0.3,0.000001+0.0144*$N$79^2.2*N59^(-0.5),0.000001+0.00341*$N$79*N59^(-0.5)),IF($N$80&lt;=51.2,(0.000000002605*$N$80+0.0000001277)*$N$43^2*(IF(ABS('Chemical Properties'!F53)&gt;0,'Chemical Properties'!F53,'Chemical Properties'!F16)/$F$8)^(2/3),0.000000261*$N$43^2*(IF(ABS('Chemical Properties'!F53)&gt;0,'Chemical Properties'!F53,'Chemical Properties'!F16)/$F$8)^(2/3))))</f>
        <v>6.2983004606827457E-6</v>
      </c>
      <c r="Q59" s="105">
        <f t="shared" si="2"/>
        <v>7.520777732066674E-3</v>
      </c>
      <c r="R59" s="105">
        <f>IF(ABS('Chemical Properties'!E53)&gt;0,'Chemical Properties'!E53,'Chemical Properties'!E16)/($F$5*($B$4+273.15))</f>
        <v>1.7670624456277779E-5</v>
      </c>
      <c r="S59" s="105">
        <f t="shared" si="3"/>
        <v>1.3015060537174903E-7</v>
      </c>
      <c r="T59" s="55"/>
    </row>
    <row r="60" spans="13:20">
      <c r="M60" s="63" t="s">
        <v>72</v>
      </c>
      <c r="N60" s="105">
        <f>$F$3/($F$4*IF(ABS('Chemical Properties'!F54)&gt;0,'Chemical Properties'!F54,'Chemical Properties'!F17))</f>
        <v>1149.2921492921494</v>
      </c>
      <c r="O60" s="105">
        <f>$F$6/($F$7*IF(ABS('Chemical Properties'!G54)&gt;0,'Chemical Properties'!G54,'Chemical Properties'!G17))</f>
        <v>0.75416666666666676</v>
      </c>
      <c r="P60" s="105">
        <f>IF($N$43&lt;3.25,0.00000278*(IF(ABS('Chemical Properties'!F54)&gt;0,'Chemical Properties'!F54,'Chemical Properties'!F17)/$F$8)^(2/3),IF($N$80&lt;14,IF($N$79&lt;0.3,0.000001+0.0144*$N$79^2.2*N60^(-0.5),0.000001+0.00341*$N$79*N60^(-0.5)),IF($N$80&lt;=51.2,(0.000000002605*$N$80+0.0000001277)*$N$43^2*(IF(ABS('Chemical Properties'!F54)&gt;0,'Chemical Properties'!F54,'Chemical Properties'!F17)/$F$8)^(2/3),0.000000261*$N$43^2*(IF(ABS('Chemical Properties'!F54)&gt;0,'Chemical Properties'!F54,'Chemical Properties'!F17)/$F$8)^(2/3))))</f>
        <v>5.8958307558225031E-6</v>
      </c>
      <c r="Q60" s="105">
        <f t="shared" si="2"/>
        <v>1.3667767100611246E-2</v>
      </c>
      <c r="R60" s="105">
        <f>IF(ABS('Chemical Properties'!E54)&gt;0,'Chemical Properties'!E54,'Chemical Properties'!E17)/($F$5*($B$4+273.15))</f>
        <v>5.4302674651533724</v>
      </c>
      <c r="S60" s="105">
        <f t="shared" si="3"/>
        <v>5.8953624422680989E-6</v>
      </c>
      <c r="T60" s="55"/>
    </row>
    <row r="61" spans="13:20">
      <c r="M61" s="63" t="s">
        <v>73</v>
      </c>
      <c r="N61" s="105">
        <f>$F$3/($F$4*IF(ABS('Chemical Properties'!F55)&gt;0,'Chemical Properties'!F55,'Chemical Properties'!F18))</f>
        <v>960.21505376344078</v>
      </c>
      <c r="O61" s="105">
        <f>$F$6/($F$7*IF(ABS('Chemical Properties'!G55)&gt;0,'Chemical Properties'!G55,'Chemical Properties'!G18))</f>
        <v>2.1733909702209413</v>
      </c>
      <c r="P61" s="105">
        <f>IF($N$43&lt;3.25,0.00000278*(IF(ABS('Chemical Properties'!F55)&gt;0,'Chemical Properties'!F55,'Chemical Properties'!F18)/$F$8)^(2/3),IF($N$80&lt;14,IF($N$79&lt;0.3,0.000001+0.0144*$N$79^2.2*N61^(-0.5),0.000001+0.00341*$N$79*N61^(-0.5)),IF($N$80&lt;=51.2,(0.000000002605*$N$80+0.0000001277)*$N$43^2*(IF(ABS('Chemical Properties'!F55)&gt;0,'Chemical Properties'!F55,'Chemical Properties'!F18)/$F$8)^(2/3),0.000000261*$N$43^2*(IF(ABS('Chemical Properties'!F55)&gt;0,'Chemical Properties'!F55,'Chemical Properties'!F18)/$F$8)^(2/3))))</f>
        <v>6.3562071035279762E-6</v>
      </c>
      <c r="Q61" s="105">
        <f t="shared" si="2"/>
        <v>6.7254030716589423E-3</v>
      </c>
      <c r="R61" s="105">
        <f>IF(ABS('Chemical Properties'!E55)&gt;0,'Chemical Properties'!E55,'Chemical Properties'!E18)/($F$5*($B$4+273.15))</f>
        <v>7.2106830274987411E-5</v>
      </c>
      <c r="S61" s="105">
        <f t="shared" si="3"/>
        <v>4.5057112579626253E-7</v>
      </c>
      <c r="T61" s="55"/>
    </row>
    <row r="62" spans="13:20">
      <c r="M62" s="64" t="s">
        <v>74</v>
      </c>
      <c r="N62" s="105">
        <f>$F$3/($F$4*IF(ABS('Chemical Properties'!F56)&gt;0,'Chemical Properties'!F56,'Chemical Properties'!F19))</f>
        <v>956.10278372591006</v>
      </c>
      <c r="O62" s="105">
        <f>$F$6/($F$7*IF(ABS('Chemical Properties'!G56)&gt;0,'Chemical Properties'!G56,'Chemical Properties'!G19))</f>
        <v>2.1125116713352012</v>
      </c>
      <c r="P62" s="105">
        <f>IF($N$43&lt;3.25,0.00000278*(IF(ABS('Chemical Properties'!F56)&gt;0,'Chemical Properties'!F56,'Chemical Properties'!F19)/$F$8)^(2/3),IF($N$80&lt;14,IF($N$79&lt;0.3,0.000001+0.0144*$N$79^2.2*N62^(-0.5),0.000001+0.00341*$N$79*N62^(-0.5)),IF($N$80&lt;=51.2,(0.000000002605*$N$80+0.0000001277)*$N$43^2*(IF(ABS('Chemical Properties'!F56)&gt;0,'Chemical Properties'!F56,'Chemical Properties'!F19)/$F$8)^(2/3),0.000000261*$N$43^2*(IF(ABS('Chemical Properties'!F56)&gt;0,'Chemical Properties'!F56,'Chemical Properties'!F19)/$F$8)^(2/3))))</f>
        <v>6.3677134693206245E-6</v>
      </c>
      <c r="Q62" s="105">
        <f t="shared" si="2"/>
        <v>6.8546498432841933E-3</v>
      </c>
      <c r="R62" s="105">
        <f>IF(ABS('Chemical Properties'!E56)&gt;0,'Chemical Properties'!E56,'Chemical Properties'!E19)/($F$5*($B$4+273.15))</f>
        <v>0.2688978823007323</v>
      </c>
      <c r="S62" s="105">
        <f t="shared" si="3"/>
        <v>6.3457906403228562E-6</v>
      </c>
      <c r="T62" s="55"/>
    </row>
    <row r="63" spans="13:20">
      <c r="M63" s="63" t="s">
        <v>75</v>
      </c>
      <c r="N63" s="105">
        <f>$F$3/($F$4*IF(ABS('Chemical Properties'!F57)&gt;0,'Chemical Properties'!F57,'Chemical Properties'!F20))</f>
        <v>850.4761904761906</v>
      </c>
      <c r="O63" s="105">
        <f>$F$6/($F$7*IF(ABS('Chemical Properties'!G57)&gt;0,'Chemical Properties'!G57,'Chemical Properties'!G20))</f>
        <v>1.4729817708333335</v>
      </c>
      <c r="P63" s="105">
        <f>IF($N$43&lt;3.25,0.00000278*(IF(ABS('Chemical Properties'!F57)&gt;0,'Chemical Properties'!F57,'Chemical Properties'!F20)/$F$8)^(2/3),IF($N$80&lt;14,IF($N$79&lt;0.3,0.000001+0.0144*$N$79^2.2*N63^(-0.5),0.000001+0.00341*$N$79*N63^(-0.5)),IF($N$80&lt;=51.2,(0.000000002605*$N$80+0.0000001277)*$N$43^2*(IF(ABS('Chemical Properties'!F57)&gt;0,'Chemical Properties'!F57,'Chemical Properties'!F20)/$F$8)^(2/3),0.000000261*$N$43^2*(IF(ABS('Chemical Properties'!F57)&gt;0,'Chemical Properties'!F57,'Chemical Properties'!F20)/$F$8)^(2/3))))</f>
        <v>6.6912876505373404E-6</v>
      </c>
      <c r="Q63" s="105">
        <f t="shared" si="2"/>
        <v>8.7278735119411498E-3</v>
      </c>
      <c r="R63" s="105">
        <f>IF(ABS('Chemical Properties'!E57)&gt;0,'Chemical Properties'!E57,'Chemical Properties'!E20)/($F$5*($B$4+273.15))</f>
        <v>2.4708851981368841E-2</v>
      </c>
      <c r="S63" s="105">
        <f t="shared" si="3"/>
        <v>6.4899207514210185E-6</v>
      </c>
      <c r="T63" s="55"/>
    </row>
    <row r="64" spans="13:20">
      <c r="M64" s="64" t="s">
        <v>78</v>
      </c>
      <c r="N64" s="105">
        <f>$F$3/($F$4*IF(ABS('Chemical Properties'!F58)&gt;0,'Chemical Properties'!F58,'Chemical Properties'!F21))</f>
        <v>1089.0243902439026</v>
      </c>
      <c r="O64" s="105">
        <f>$F$6/($F$7*IF(ABS('Chemical Properties'!G58)&gt;0,'Chemical Properties'!G58,'Chemical Properties'!G21))</f>
        <v>3.7334983498349841</v>
      </c>
      <c r="P64" s="105">
        <f>IF($N$43&lt;3.25,0.00000278*(IF(ABS('Chemical Properties'!F58)&gt;0,'Chemical Properties'!F58,'Chemical Properties'!F21)/$F$8)^(2/3),IF($N$80&lt;14,IF($N$79&lt;0.3,0.000001+0.0144*$N$79^2.2*N64^(-0.5),0.000001+0.00341*$N$79*N64^(-0.5)),IF($N$80&lt;=51.2,(0.000000002605*$N$80+0.0000001277)*$N$43^2*(IF(ABS('Chemical Properties'!F58)&gt;0,'Chemical Properties'!F58,'Chemical Properties'!F21)/$F$8)^(2/3),0.000000261*$N$43^2*(IF(ABS('Chemical Properties'!F58)&gt;0,'Chemical Properties'!F58,'Chemical Properties'!F21)/$F$8)^(2/3))))</f>
        <v>6.0294768448333194E-6</v>
      </c>
      <c r="Q64" s="105">
        <f t="shared" si="2"/>
        <v>4.6804001793983429E-3</v>
      </c>
      <c r="R64" s="105">
        <f>IF(ABS('Chemical Properties'!E58)&gt;0,'Chemical Properties'!E58,'Chemical Properties'!E21)/($F$5*($B$4+273.15))</f>
        <v>1.2462908936417575E-2</v>
      </c>
      <c r="S64" s="105">
        <f t="shared" si="3"/>
        <v>5.4646214215632429E-6</v>
      </c>
      <c r="T64" s="55"/>
    </row>
    <row r="65" spans="9:20">
      <c r="M65" s="65" t="s">
        <v>14</v>
      </c>
      <c r="N65" s="105">
        <f>$F$3/($F$4*IF(ABS('Chemical Properties'!F59)&gt;0,'Chemical Properties'!F59,'Chemical Properties'!F22))</f>
        <v>686.92307692307702</v>
      </c>
      <c r="O65" s="105">
        <f>$F$6/($F$7*IF(ABS('Chemical Properties'!G59)&gt;0,'Chemical Properties'!G59,'Chemical Properties'!G22))</f>
        <v>0.93279736136878999</v>
      </c>
      <c r="P65" s="105">
        <f>IF($N$43&lt;3.25,0.00000278*(IF(ABS('Chemical Properties'!F59)&gt;0,'Chemical Properties'!F59,'Chemical Properties'!F22)/$F$8)^(2/3),IF($N$80&lt;14,IF($N$79&lt;0.3,0.000001+0.0144*$N$79^2.2*N65^(-0.5),0.000001+0.00341*$N$79*N65^(-0.5)),IF($N$80&lt;=51.2,(0.000000002605*$N$80+0.0000001277)*$N$43^2*(IF(ABS('Chemical Properties'!F59)&gt;0,'Chemical Properties'!F59,'Chemical Properties'!F22)/$F$8)^(2/3),0.000000261*$N$43^2*(IF(ABS('Chemical Properties'!F59)&gt;0,'Chemical Properties'!F59,'Chemical Properties'!F22)/$F$8)^(2/3))))</f>
        <v>7.3326802914576154E-6</v>
      </c>
      <c r="Q65" s="105">
        <f t="shared" si="2"/>
        <v>1.185340671040507E-2</v>
      </c>
      <c r="R65" s="105">
        <f>IF(ABS('Chemical Properties'!E59)&gt;0,'Chemical Properties'!E59,'Chemical Properties'!E22)/($F$5*($B$4+273.15))</f>
        <v>2.1899111416848029</v>
      </c>
      <c r="S65" s="105">
        <f t="shared" si="3"/>
        <v>7.3306095152951432E-6</v>
      </c>
      <c r="T65" s="55"/>
    </row>
    <row r="66" spans="9:20">
      <c r="M66" s="65" t="s">
        <v>79</v>
      </c>
      <c r="N66" s="105">
        <f>$F$3/($F$4*IF(ABS('Chemical Properties'!F60)&gt;0,'Chemical Properties'!F60,'Chemical Properties'!F23))</f>
        <v>902.02020202020208</v>
      </c>
      <c r="O66" s="105">
        <f>$F$6/($F$7*IF(ABS('Chemical Properties'!G60)&gt;0,'Chemical Properties'!G60,'Chemical Properties'!G23))</f>
        <v>1.4503205128205132</v>
      </c>
      <c r="P66" s="105">
        <f>IF($N$43&lt;3.25,0.00000278*(IF(ABS('Chemical Properties'!F60)&gt;0,'Chemical Properties'!F60,'Chemical Properties'!F23)/$F$8)^(2/3),IF($N$80&lt;14,IF($N$79&lt;0.3,0.000001+0.0144*$N$79^2.2*N66^(-0.5),0.000001+0.00341*$N$79*N66^(-0.5)),IF($N$80&lt;=51.2,(0.000000002605*$N$80+0.0000001277)*$N$43^2*(IF(ABS('Chemical Properties'!F60)&gt;0,'Chemical Properties'!F60,'Chemical Properties'!F23)/$F$8)^(2/3),0.000000261*$N$43^2*(IF(ABS('Chemical Properties'!F60)&gt;0,'Chemical Properties'!F60,'Chemical Properties'!F23)/$F$8)^(2/3))))</f>
        <v>6.5262876172455218E-6</v>
      </c>
      <c r="Q66" s="105">
        <f t="shared" si="2"/>
        <v>8.819009491745626E-3</v>
      </c>
      <c r="R66" s="105">
        <f>IF(ABS('Chemical Properties'!E60)&gt;0,'Chemical Properties'!E60,'Chemical Properties'!E23)/($F$5*($B$4+273.15))</f>
        <v>6.2314544682087886E-2</v>
      </c>
      <c r="S66" s="105">
        <f t="shared" si="3"/>
        <v>6.4496933893460112E-6</v>
      </c>
      <c r="T66" s="55"/>
    </row>
    <row r="67" spans="9:20">
      <c r="M67" s="65" t="s">
        <v>15</v>
      </c>
      <c r="N67" s="105">
        <f>$F$3/($F$4*IF(ABS('Chemical Properties'!F61)&gt;0,'Chemical Properties'!F61,'Chemical Properties'!F24))</f>
        <v>911.22448979591843</v>
      </c>
      <c r="O67" s="105">
        <f>$F$6/($F$7*IF(ABS('Chemical Properties'!G61)&gt;0,'Chemical Properties'!G61,'Chemical Properties'!G24))</f>
        <v>2.1425189393939394</v>
      </c>
      <c r="P67" s="105">
        <f>IF($N$43&lt;3.25,0.00000278*(IF(ABS('Chemical Properties'!F61)&gt;0,'Chemical Properties'!F61,'Chemical Properties'!F24)/$F$8)^(2/3),IF($N$80&lt;14,IF($N$79&lt;0.3,0.000001+0.0144*$N$79^2.2*N67^(-0.5),0.000001+0.00341*$N$79*N67^(-0.5)),IF($N$80&lt;=51.2,(0.000000002605*$N$80+0.0000001277)*$N$43^2*(IF(ABS('Chemical Properties'!F61)&gt;0,'Chemical Properties'!F61,'Chemical Properties'!F24)/$F$8)^(2/3),0.000000261*$N$43^2*(IF(ABS('Chemical Properties'!F61)&gt;0,'Chemical Properties'!F61,'Chemical Properties'!F24)/$F$8)^(2/3))))</f>
        <v>6.4983062343247953E-6</v>
      </c>
      <c r="Q67" s="105">
        <f t="shared" si="2"/>
        <v>6.7901779241890045E-3</v>
      </c>
      <c r="R67" s="105">
        <f>IF(ABS('Chemical Properties'!E61)&gt;0,'Chemical Properties'!E61,'Chemical Properties'!E24)/($F$5*($B$4+273.15))</f>
        <v>1.7225520565691436E-9</v>
      </c>
      <c r="S67" s="105">
        <f t="shared" si="3"/>
        <v>1.1696413895166406E-11</v>
      </c>
      <c r="T67" s="55"/>
    </row>
    <row r="68" spans="9:20">
      <c r="M68" s="65" t="s">
        <v>80</v>
      </c>
      <c r="N68" s="105">
        <f>$F$3/($F$4*IF(ABS('Chemical Properties'!F62)&gt;0,'Chemical Properties'!F62,'Chemical Properties'!F25))</f>
        <v>1355.0834597875571</v>
      </c>
      <c r="O68" s="105">
        <f>$F$6/($F$7*IF(ABS('Chemical Properties'!G62)&gt;0,'Chemical Properties'!G62,'Chemical Properties'!G25))</f>
        <v>2.0577535243292409</v>
      </c>
      <c r="P68" s="105">
        <f>IF($N$43&lt;3.25,0.00000278*(IF(ABS('Chemical Properties'!F62)&gt;0,'Chemical Properties'!F62,'Chemical Properties'!F25)/$F$8)^(2/3),IF($N$80&lt;14,IF($N$79&lt;0.3,0.000001+0.0144*$N$79^2.2*N68^(-0.5),0.000001+0.00341*$N$79*N68^(-0.5)),IF($N$80&lt;=51.2,(0.000000002605*$N$80+0.0000001277)*$N$43^2*(IF(ABS('Chemical Properties'!F62)&gt;0,'Chemical Properties'!F62,'Chemical Properties'!F25)/$F$8)^(2/3),0.000000261*$N$43^2*(IF(ABS('Chemical Properties'!F62)&gt;0,'Chemical Properties'!F62,'Chemical Properties'!F25)/$F$8)^(2/3))))</f>
        <v>5.508775319396998E-6</v>
      </c>
      <c r="Q68" s="105">
        <f t="shared" si="2"/>
        <v>6.9763319267841465E-3</v>
      </c>
      <c r="R68" s="105">
        <f>IF(ABS('Chemical Properties'!E62)&gt;0,'Chemical Properties'!E62,'Chemical Properties'!E25)/($F$5*($B$4+273.15))</f>
        <v>134.86647884766163</v>
      </c>
      <c r="S68" s="105">
        <f t="shared" si="3"/>
        <v>5.5087430659287311E-6</v>
      </c>
      <c r="T68" s="55"/>
    </row>
    <row r="69" spans="9:20">
      <c r="M69" s="65" t="s">
        <v>59</v>
      </c>
      <c r="N69" s="105" t="e">
        <f>$F$3/($F$4*IF(ABS('Chemical Properties'!F63)&gt;0,'Chemical Properties'!F63,'Chemical Properties'!F26))</f>
        <v>#DIV/0!</v>
      </c>
      <c r="O69" s="105" t="e">
        <f>$F$6/($F$7*IF(ABS('Chemical Properties'!G63)&gt;0,'Chemical Properties'!G63,'Chemical Properties'!G26))</f>
        <v>#DIV/0!</v>
      </c>
      <c r="P69" s="105" t="e">
        <f>IF($N$43&lt;3.25,0.00000278*(IF(ABS('Chemical Properties'!F63)&gt;0,'Chemical Properties'!F63,'Chemical Properties'!F26)/$F$8)^(2/3),IF($N$80&lt;14,IF($N$79&lt;0.3,0.000001+0.0144*$N$79^2.2*N69^(-0.5),0.000001+0.00341*$N$79*N69^(-0.5)),IF($N$80&lt;=51.2,(0.000000002605*$N$80+0.0000001277)*$N$43^2*(IF(ABS('Chemical Properties'!F63)&gt;0,'Chemical Properties'!F63,'Chemical Properties'!F26)/$F$8)^(2/3),0.000000261*$N$43^2*(IF(ABS('Chemical Properties'!F63)&gt;0,'Chemical Properties'!F63,'Chemical Properties'!F26)/$F$8)^(2/3))))</f>
        <v>#DIV/0!</v>
      </c>
      <c r="Q69" s="105" t="e">
        <f t="shared" si="2"/>
        <v>#DIV/0!</v>
      </c>
      <c r="R69" s="105">
        <f>IF(ABS('Chemical Properties'!E63)&gt;0,'Chemical Properties'!E63,'Chemical Properties'!E26)/($F$5*($B$4+273.15))</f>
        <v>0</v>
      </c>
      <c r="S69" s="105" t="e">
        <f>(P69*R69*Q69)/(R69*Q69+P69)</f>
        <v>#DIV/0!</v>
      </c>
      <c r="T69" s="55"/>
    </row>
    <row r="70" spans="9:20">
      <c r="M70" s="81" t="s">
        <v>60</v>
      </c>
      <c r="N70" s="105" t="e">
        <f>$F$3/($F$4*IF(ABS('Chemical Properties'!F64)&gt;0,'Chemical Properties'!F64,'Chemical Properties'!F27))</f>
        <v>#DIV/0!</v>
      </c>
      <c r="O70" s="105" t="e">
        <f>$F$6/($F$7*IF(ABS('Chemical Properties'!G64)&gt;0,'Chemical Properties'!G64,'Chemical Properties'!G27))</f>
        <v>#DIV/0!</v>
      </c>
      <c r="P70" s="105" t="e">
        <f>IF($N$43&lt;3.25,0.00000278*(IF(ABS('Chemical Properties'!F64)&gt;0,'Chemical Properties'!F64,'Chemical Properties'!F27)/$F$8)^(2/3),IF($N$80&lt;14,IF($N$79&lt;0.3,0.000001+0.0144*$N$79^2.2*N70^(-0.5),0.000001+0.00341*$N$79*N70^(-0.5)),IF($N$80&lt;=51.2,(0.000000002605*$N$80+0.0000001277)*$N$43^2*(IF(ABS('Chemical Properties'!F64)&gt;0,'Chemical Properties'!F64,'Chemical Properties'!F27)/$F$8)^(2/3),0.000000261*$N$43^2*(IF(ABS('Chemical Properties'!F64)&gt;0,'Chemical Properties'!F64,'Chemical Properties'!F27)/$F$8)^(2/3))))</f>
        <v>#DIV/0!</v>
      </c>
      <c r="Q70" s="105" t="e">
        <f t="shared" si="2"/>
        <v>#DIV/0!</v>
      </c>
      <c r="R70" s="105">
        <f>IF(ABS('Chemical Properties'!E64)&gt;0,'Chemical Properties'!E64,'Chemical Properties'!E27)/($F$5*($B$4+273.15))</f>
        <v>0</v>
      </c>
      <c r="S70" s="105" t="e">
        <f>(P70*R70*Q70)/(R70*Q70+P70)</f>
        <v>#DIV/0!</v>
      </c>
      <c r="T70" s="55"/>
    </row>
    <row r="71" spans="9:20">
      <c r="M71" s="65" t="s">
        <v>61</v>
      </c>
      <c r="N71" s="105" t="e">
        <f>$F$3/($F$4*IF(ABS('Chemical Properties'!F65)&gt;0,'Chemical Properties'!F65,'Chemical Properties'!F28))</f>
        <v>#DIV/0!</v>
      </c>
      <c r="O71" s="105" t="e">
        <f>$F$6/($F$7*IF(ABS('Chemical Properties'!G65)&gt;0,'Chemical Properties'!G65,'Chemical Properties'!G28))</f>
        <v>#DIV/0!</v>
      </c>
      <c r="P71" s="105" t="e">
        <f>IF($N$43&lt;3.25,0.00000278*(IF(ABS('Chemical Properties'!F65)&gt;0,'Chemical Properties'!F65,'Chemical Properties'!F28)/$F$8)^(2/3),IF($N$80&lt;14,IF($N$79&lt;0.3,0.000001+0.0144*$N$79^2.2*N71^(-0.5),0.000001+0.00341*$N$79*N71^(-0.5)),IF($N$80&lt;=51.2,(0.000000002605*$N$80+0.0000001277)*$N$43^2*(IF(ABS('Chemical Properties'!F65)&gt;0,'Chemical Properties'!F65,'Chemical Properties'!F28)/$F$8)^(2/3),0.000000261*$N$43^2*(IF(ABS('Chemical Properties'!F65)&gt;0,'Chemical Properties'!F65,'Chemical Properties'!F28)/$F$8)^(2/3))))</f>
        <v>#DIV/0!</v>
      </c>
      <c r="Q71" s="105" t="e">
        <f t="shared" si="2"/>
        <v>#DIV/0!</v>
      </c>
      <c r="R71" s="105">
        <f>IF(ABS('Chemical Properties'!E65)&gt;0,'Chemical Properties'!E65,'Chemical Properties'!E28)/($F$5*($B$4+273.15))</f>
        <v>0</v>
      </c>
      <c r="S71" s="105" t="e">
        <f>(P71*R71*Q71)/(R71*Q71+P71)</f>
        <v>#DIV/0!</v>
      </c>
      <c r="T71" s="55"/>
    </row>
    <row r="72" spans="9:20">
      <c r="M72" s="65" t="s">
        <v>256</v>
      </c>
      <c r="N72" s="105">
        <f>$F$3/($F$4*IF(ABS('Chemical Properties'!F66)&gt;0,'Chemical Properties'!F66,'Chemical Properties'!F29))</f>
        <v>866.990291262136</v>
      </c>
      <c r="O72" s="105">
        <f>$F$6/($F$7*IF(ABS('Chemical Properties'!G66)&gt;0,'Chemical Properties'!G66,'Chemical Properties'!G29))</f>
        <v>1.5204973118279572</v>
      </c>
      <c r="P72" s="105">
        <f>IF($N$43&lt;3.25,0.00000278*(IF(ABS('Chemical Properties'!F66)&gt;0,'Chemical Properties'!F66,'Chemical Properties'!F29)/$F$8)^(2/3),IF($N$80&lt;14,IF($N$79&lt;0.3,0.000001+0.0144*$N$79^2.2*N72^(-0.5),0.000001+0.00341*$N$79*N72^(-0.5)),IF($N$80&lt;=51.2,(0.000000002605*$N$80+0.0000001277)*$N$43^2*(IF(ABS('Chemical Properties'!F66)&gt;0,'Chemical Properties'!F66,'Chemical Properties'!F29)/$F$8)^(2/3),0.000000261*$N$43^2*(IF(ABS('Chemical Properties'!F66)&gt;0,'Chemical Properties'!F66,'Chemical Properties'!F29)/$F$8)^(2/3))))</f>
        <v>6.6368243148909902E-6</v>
      </c>
      <c r="Q72" s="105">
        <f t="shared" si="2"/>
        <v>8.5441781111178991E-3</v>
      </c>
      <c r="R72" s="105">
        <f>IF(ABS('Chemical Properties'!E66)&gt;0,'Chemical Properties'!E66,'Chemical Properties'!E29)/($F$5*($B$4+273.15))</f>
        <v>42.28486960570249</v>
      </c>
      <c r="S72" s="105">
        <f>(P72*R72*Q72)/(R72*Q72+P72)</f>
        <v>6.6367023998254779E-6</v>
      </c>
      <c r="T72" s="55"/>
    </row>
    <row r="73" spans="9:20">
      <c r="L73" s="55"/>
      <c r="T73" s="55"/>
    </row>
    <row r="74" spans="9:20">
      <c r="L74" s="55"/>
      <c r="M74" s="91"/>
      <c r="N74" s="107"/>
      <c r="O74" s="107"/>
      <c r="P74" s="107"/>
      <c r="Q74" s="107"/>
      <c r="R74" s="107"/>
      <c r="S74" s="107"/>
      <c r="T74" s="55"/>
    </row>
    <row r="75" spans="9:20">
      <c r="L75" s="55"/>
      <c r="P75" s="55"/>
      <c r="Q75" s="55"/>
      <c r="R75" s="85"/>
      <c r="S75" s="55"/>
      <c r="T75" s="55"/>
    </row>
    <row r="76" spans="9:20">
      <c r="L76" s="55"/>
      <c r="P76" s="55"/>
      <c r="Q76" s="55"/>
      <c r="R76" s="85"/>
      <c r="S76" s="55"/>
      <c r="T76" s="55"/>
    </row>
    <row r="77" spans="9:20">
      <c r="L77" s="55"/>
      <c r="M77" s="55"/>
      <c r="N77" s="55"/>
      <c r="O77" s="55"/>
      <c r="P77" s="55"/>
      <c r="Q77" s="55"/>
      <c r="R77" s="55"/>
      <c r="S77" s="55"/>
      <c r="T77" s="55"/>
    </row>
    <row r="78" spans="9:20" ht="15.75">
      <c r="L78" s="55"/>
      <c r="M78" s="294" t="s">
        <v>88</v>
      </c>
      <c r="N78" s="294"/>
      <c r="O78" s="294"/>
      <c r="P78" s="55"/>
      <c r="Q78" s="55"/>
      <c r="R78" s="55"/>
      <c r="S78" s="55"/>
      <c r="T78" s="55"/>
    </row>
    <row r="79" spans="9:20">
      <c r="I79" s="88"/>
      <c r="J79" s="88"/>
      <c r="K79" s="88"/>
      <c r="L79" s="55"/>
      <c r="M79" s="71" t="s">
        <v>87</v>
      </c>
      <c r="N79" s="99">
        <f>0.01*$N$43*(6.1+0.63*$N$43)^0.5</f>
        <v>0.13150584507470001</v>
      </c>
      <c r="O79" s="71" t="s">
        <v>0</v>
      </c>
      <c r="P79" s="55"/>
      <c r="Q79" s="55"/>
      <c r="R79" s="55"/>
      <c r="S79" s="55"/>
      <c r="T79" s="55"/>
    </row>
    <row r="80" spans="9:20">
      <c r="I80" s="88"/>
      <c r="J80" s="88"/>
      <c r="K80" s="88"/>
      <c r="L80" s="55"/>
      <c r="M80" s="71" t="s">
        <v>54</v>
      </c>
      <c r="N80" s="99">
        <f>2*($B$3/PI())^0.5/$B$7</f>
        <v>5.3192304053524362</v>
      </c>
      <c r="O80" s="71"/>
      <c r="P80" s="55"/>
      <c r="Q80" s="55"/>
      <c r="R80" s="55"/>
      <c r="S80" s="55"/>
      <c r="T80" s="55"/>
    </row>
    <row r="81" spans="9:20" ht="16.5" customHeight="1">
      <c r="I81" s="88"/>
      <c r="J81" s="131"/>
      <c r="K81" s="88"/>
      <c r="L81" s="55"/>
      <c r="M81" s="55"/>
      <c r="N81" s="55"/>
      <c r="O81" s="55"/>
      <c r="P81" s="55"/>
      <c r="Q81" s="55"/>
      <c r="R81" s="55"/>
      <c r="S81" s="55"/>
      <c r="T81" s="55"/>
    </row>
    <row r="82" spans="9:20">
      <c r="I82" s="88"/>
      <c r="J82" s="88"/>
      <c r="K82" s="88"/>
      <c r="M82" s="55"/>
      <c r="N82" s="55"/>
      <c r="O82" s="55"/>
      <c r="P82" s="55"/>
      <c r="Q82" s="55"/>
      <c r="R82" s="55"/>
      <c r="S82" s="55"/>
    </row>
    <row r="83" spans="9:20">
      <c r="I83" s="88"/>
      <c r="J83" s="88"/>
      <c r="K83" s="88"/>
      <c r="M83" s="134" t="s">
        <v>159</v>
      </c>
      <c r="N83" s="134"/>
      <c r="O83" s="134"/>
      <c r="P83" s="134"/>
      <c r="Q83" s="134"/>
      <c r="R83" s="134"/>
      <c r="S83" s="135"/>
      <c r="T83" s="135"/>
    </row>
    <row r="84" spans="9:20" ht="38.25">
      <c r="M84" s="128" t="s">
        <v>153</v>
      </c>
      <c r="N84" s="129" t="s">
        <v>155</v>
      </c>
      <c r="O84" s="129" t="s">
        <v>156</v>
      </c>
      <c r="P84" s="129" t="s">
        <v>157</v>
      </c>
      <c r="Q84" s="129" t="s">
        <v>158</v>
      </c>
      <c r="R84" s="129" t="s">
        <v>154</v>
      </c>
      <c r="S84" s="88"/>
      <c r="T84" s="132"/>
    </row>
    <row r="85" spans="9:20">
      <c r="M85" s="60" t="s">
        <v>17</v>
      </c>
      <c r="N85" s="72">
        <f>$B$6*B12</f>
        <v>0.02</v>
      </c>
      <c r="O85" s="127">
        <f>M3*$B$6</f>
        <v>1.9456369239643796E-2</v>
      </c>
      <c r="P85" s="127">
        <f>K3</f>
        <v>5.4363076035620381E-4</v>
      </c>
      <c r="Q85" s="130">
        <f t="shared" ref="Q85:Q106" si="4">O85/N85*100</f>
        <v>97.281846198218986</v>
      </c>
      <c r="R85" s="130">
        <f t="shared" ref="R85:R106" si="5">P85/N85*100</f>
        <v>2.718153801781019</v>
      </c>
      <c r="S85" s="88"/>
      <c r="T85" s="133"/>
    </row>
    <row r="86" spans="9:20">
      <c r="M86" s="62" t="s">
        <v>6</v>
      </c>
      <c r="N86" s="72">
        <f t="shared" ref="N86:N106" si="6">$B$6*B13</f>
        <v>0.02</v>
      </c>
      <c r="O86" s="127">
        <f t="shared" ref="O86:O106" si="7">M4*$B$6</f>
        <v>1.4835059708478036E-3</v>
      </c>
      <c r="P86" s="127">
        <f t="shared" ref="P86:P106" si="8">K4</f>
        <v>1.8516494029152199E-2</v>
      </c>
      <c r="Q86" s="130">
        <f t="shared" si="4"/>
        <v>7.4175298542390173</v>
      </c>
      <c r="R86" s="130">
        <f t="shared" si="5"/>
        <v>92.582470145760993</v>
      </c>
      <c r="S86" s="88"/>
      <c r="T86" s="133"/>
    </row>
    <row r="87" spans="9:20">
      <c r="M87" s="62" t="s">
        <v>13</v>
      </c>
      <c r="N87" s="72">
        <f t="shared" si="6"/>
        <v>0.02</v>
      </c>
      <c r="O87" s="127">
        <f t="shared" si="7"/>
        <v>2.927023288034003E-4</v>
      </c>
      <c r="P87" s="127">
        <f t="shared" si="8"/>
        <v>1.97072976711966E-2</v>
      </c>
      <c r="Q87" s="130">
        <f t="shared" si="4"/>
        <v>1.4635116440170015</v>
      </c>
      <c r="R87" s="130">
        <f t="shared" si="5"/>
        <v>98.536488355982996</v>
      </c>
      <c r="S87" s="88"/>
      <c r="T87" s="133"/>
    </row>
    <row r="88" spans="9:20">
      <c r="M88" s="60" t="s">
        <v>69</v>
      </c>
      <c r="N88" s="72">
        <f t="shared" si="6"/>
        <v>0.02</v>
      </c>
      <c r="O88" s="127">
        <f t="shared" si="7"/>
        <v>1.7057326761547947E-2</v>
      </c>
      <c r="P88" s="127">
        <f t="shared" si="8"/>
        <v>2.9426732384520535E-3</v>
      </c>
      <c r="Q88" s="130">
        <f t="shared" si="4"/>
        <v>85.286633807739733</v>
      </c>
      <c r="R88" s="130">
        <f t="shared" si="5"/>
        <v>14.713366192260265</v>
      </c>
      <c r="S88" s="88"/>
      <c r="T88" s="133"/>
    </row>
    <row r="89" spans="9:20">
      <c r="M89" s="62" t="s">
        <v>9</v>
      </c>
      <c r="N89" s="72">
        <f t="shared" si="6"/>
        <v>0.02</v>
      </c>
      <c r="O89" s="127">
        <f t="shared" si="7"/>
        <v>9.3873147968018388E-3</v>
      </c>
      <c r="P89" s="127">
        <f t="shared" si="8"/>
        <v>1.0612685203198162E-2</v>
      </c>
      <c r="Q89" s="130">
        <f t="shared" si="4"/>
        <v>46.936573984009193</v>
      </c>
      <c r="R89" s="130">
        <f t="shared" si="5"/>
        <v>53.063426015990814</v>
      </c>
      <c r="S89" s="88"/>
      <c r="T89" s="133"/>
    </row>
    <row r="90" spans="9:20">
      <c r="M90" s="63" t="s">
        <v>7</v>
      </c>
      <c r="N90" s="72">
        <f t="shared" si="6"/>
        <v>0.02</v>
      </c>
      <c r="O90" s="127">
        <f t="shared" si="7"/>
        <v>5.9613726786339797E-4</v>
      </c>
      <c r="P90" s="127">
        <f t="shared" si="8"/>
        <v>1.9403862732136602E-2</v>
      </c>
      <c r="Q90" s="130">
        <f t="shared" si="4"/>
        <v>2.98068633931699</v>
      </c>
      <c r="R90" s="130">
        <f t="shared" si="5"/>
        <v>97.019313660683011</v>
      </c>
      <c r="S90" s="88"/>
      <c r="T90" s="133"/>
    </row>
    <row r="91" spans="9:20">
      <c r="M91" s="62" t="s">
        <v>8</v>
      </c>
      <c r="N91" s="72">
        <f t="shared" si="6"/>
        <v>0.02</v>
      </c>
      <c r="O91" s="127">
        <f t="shared" si="7"/>
        <v>1.0754997600503995E-3</v>
      </c>
      <c r="P91" s="127">
        <f t="shared" si="8"/>
        <v>1.8924500239949602E-2</v>
      </c>
      <c r="Q91" s="130">
        <f t="shared" si="4"/>
        <v>5.3774988002519972</v>
      </c>
      <c r="R91" s="130">
        <f t="shared" si="5"/>
        <v>94.622501199748015</v>
      </c>
      <c r="S91" s="88"/>
      <c r="T91" s="133"/>
    </row>
    <row r="92" spans="9:20">
      <c r="M92" s="62" t="s">
        <v>11</v>
      </c>
      <c r="N92" s="72">
        <f t="shared" si="6"/>
        <v>0</v>
      </c>
      <c r="O92" s="127">
        <f t="shared" si="7"/>
        <v>0</v>
      </c>
      <c r="P92" s="127">
        <f t="shared" si="8"/>
        <v>0</v>
      </c>
      <c r="Q92" s="130" t="e">
        <f t="shared" si="4"/>
        <v>#DIV/0!</v>
      </c>
      <c r="R92" s="130" t="e">
        <f t="shared" si="5"/>
        <v>#DIV/0!</v>
      </c>
      <c r="S92" s="88"/>
      <c r="T92" s="133"/>
    </row>
    <row r="93" spans="9:20">
      <c r="M93" s="63" t="s">
        <v>70</v>
      </c>
      <c r="N93" s="72">
        <f t="shared" si="6"/>
        <v>0</v>
      </c>
      <c r="O93" s="127">
        <f t="shared" si="7"/>
        <v>0</v>
      </c>
      <c r="P93" s="127">
        <f t="shared" si="8"/>
        <v>0</v>
      </c>
      <c r="Q93" s="130" t="e">
        <f t="shared" si="4"/>
        <v>#DIV/0!</v>
      </c>
      <c r="R93" s="130" t="e">
        <f t="shared" si="5"/>
        <v>#DIV/0!</v>
      </c>
      <c r="S93" s="88"/>
      <c r="T93" s="133"/>
    </row>
    <row r="94" spans="9:20">
      <c r="M94" s="63" t="s">
        <v>16</v>
      </c>
      <c r="N94" s="72">
        <f t="shared" si="6"/>
        <v>0</v>
      </c>
      <c r="O94" s="127">
        <f t="shared" si="7"/>
        <v>0</v>
      </c>
      <c r="P94" s="127">
        <f t="shared" si="8"/>
        <v>0</v>
      </c>
      <c r="Q94" s="130" t="e">
        <f t="shared" si="4"/>
        <v>#DIV/0!</v>
      </c>
      <c r="R94" s="130" t="e">
        <f t="shared" si="5"/>
        <v>#DIV/0!</v>
      </c>
      <c r="S94" s="88"/>
      <c r="T94" s="133"/>
    </row>
    <row r="95" spans="9:20">
      <c r="M95" s="60" t="s">
        <v>71</v>
      </c>
      <c r="N95" s="72">
        <f t="shared" si="6"/>
        <v>0</v>
      </c>
      <c r="O95" s="127">
        <f t="shared" si="7"/>
        <v>0</v>
      </c>
      <c r="P95" s="127">
        <f t="shared" si="8"/>
        <v>0</v>
      </c>
      <c r="Q95" s="130" t="e">
        <f t="shared" si="4"/>
        <v>#DIV/0!</v>
      </c>
      <c r="R95" s="130" t="e">
        <f t="shared" si="5"/>
        <v>#DIV/0!</v>
      </c>
      <c r="S95" s="88"/>
      <c r="T95" s="133"/>
    </row>
    <row r="96" spans="9:20">
      <c r="M96" s="62" t="s">
        <v>12</v>
      </c>
      <c r="N96" s="72">
        <f t="shared" si="6"/>
        <v>0</v>
      </c>
      <c r="O96" s="127">
        <f t="shared" si="7"/>
        <v>0</v>
      </c>
      <c r="P96" s="127">
        <f t="shared" si="8"/>
        <v>0</v>
      </c>
      <c r="Q96" s="130" t="e">
        <f t="shared" si="4"/>
        <v>#DIV/0!</v>
      </c>
      <c r="R96" s="130" t="e">
        <f t="shared" si="5"/>
        <v>#DIV/0!</v>
      </c>
      <c r="S96" s="88"/>
      <c r="T96" s="133"/>
    </row>
    <row r="97" spans="13:20">
      <c r="M97" s="62" t="s">
        <v>10</v>
      </c>
      <c r="N97" s="72">
        <f t="shared" si="6"/>
        <v>0</v>
      </c>
      <c r="O97" s="127">
        <f t="shared" si="7"/>
        <v>0</v>
      </c>
      <c r="P97" s="127">
        <f t="shared" si="8"/>
        <v>0</v>
      </c>
      <c r="Q97" s="130" t="e">
        <f t="shared" si="4"/>
        <v>#DIV/0!</v>
      </c>
      <c r="R97" s="130" t="e">
        <f t="shared" si="5"/>
        <v>#DIV/0!</v>
      </c>
      <c r="S97" s="88"/>
      <c r="T97" s="133"/>
    </row>
    <row r="98" spans="13:20">
      <c r="M98" s="63" t="s">
        <v>72</v>
      </c>
      <c r="N98" s="72">
        <f t="shared" si="6"/>
        <v>0</v>
      </c>
      <c r="O98" s="127">
        <f t="shared" si="7"/>
        <v>0</v>
      </c>
      <c r="P98" s="127">
        <f t="shared" si="8"/>
        <v>0</v>
      </c>
      <c r="Q98" s="130" t="e">
        <f t="shared" si="4"/>
        <v>#DIV/0!</v>
      </c>
      <c r="R98" s="130" t="e">
        <f t="shared" si="5"/>
        <v>#DIV/0!</v>
      </c>
      <c r="S98" s="88"/>
      <c r="T98" s="133"/>
    </row>
    <row r="99" spans="13:20">
      <c r="M99" s="63" t="s">
        <v>73</v>
      </c>
      <c r="N99" s="72">
        <f t="shared" si="6"/>
        <v>0</v>
      </c>
      <c r="O99" s="127">
        <f t="shared" si="7"/>
        <v>0</v>
      </c>
      <c r="P99" s="127">
        <f t="shared" si="8"/>
        <v>0</v>
      </c>
      <c r="Q99" s="130" t="e">
        <f t="shared" si="4"/>
        <v>#DIV/0!</v>
      </c>
      <c r="R99" s="130" t="e">
        <f t="shared" si="5"/>
        <v>#DIV/0!</v>
      </c>
      <c r="S99" s="88"/>
      <c r="T99" s="133"/>
    </row>
    <row r="100" spans="13:20">
      <c r="M100" s="64" t="s">
        <v>74</v>
      </c>
      <c r="N100" s="72">
        <f t="shared" si="6"/>
        <v>0</v>
      </c>
      <c r="O100" s="127">
        <f t="shared" si="7"/>
        <v>0</v>
      </c>
      <c r="P100" s="127">
        <f t="shared" si="8"/>
        <v>0</v>
      </c>
      <c r="Q100" s="130" t="e">
        <f t="shared" si="4"/>
        <v>#DIV/0!</v>
      </c>
      <c r="R100" s="130" t="e">
        <f t="shared" si="5"/>
        <v>#DIV/0!</v>
      </c>
      <c r="S100" s="88"/>
      <c r="T100" s="133"/>
    </row>
    <row r="101" spans="13:20">
      <c r="M101" s="63" t="s">
        <v>75</v>
      </c>
      <c r="N101" s="72">
        <f t="shared" si="6"/>
        <v>0</v>
      </c>
      <c r="O101" s="127">
        <f t="shared" si="7"/>
        <v>0</v>
      </c>
      <c r="P101" s="127">
        <f t="shared" si="8"/>
        <v>0</v>
      </c>
      <c r="Q101" s="130" t="e">
        <f t="shared" si="4"/>
        <v>#DIV/0!</v>
      </c>
      <c r="R101" s="130" t="e">
        <f t="shared" si="5"/>
        <v>#DIV/0!</v>
      </c>
      <c r="S101" s="88"/>
      <c r="T101" s="133"/>
    </row>
    <row r="102" spans="13:20">
      <c r="M102" s="64" t="s">
        <v>78</v>
      </c>
      <c r="N102" s="72">
        <f t="shared" si="6"/>
        <v>0</v>
      </c>
      <c r="O102" s="127">
        <f t="shared" si="7"/>
        <v>0</v>
      </c>
      <c r="P102" s="127">
        <f t="shared" si="8"/>
        <v>0</v>
      </c>
      <c r="Q102" s="130" t="e">
        <f t="shared" si="4"/>
        <v>#DIV/0!</v>
      </c>
      <c r="R102" s="130" t="e">
        <f t="shared" si="5"/>
        <v>#DIV/0!</v>
      </c>
      <c r="S102" s="88"/>
      <c r="T102" s="133"/>
    </row>
    <row r="103" spans="13:20">
      <c r="M103" s="65" t="s">
        <v>14</v>
      </c>
      <c r="N103" s="72">
        <f t="shared" si="6"/>
        <v>0</v>
      </c>
      <c r="O103" s="127">
        <f t="shared" si="7"/>
        <v>0</v>
      </c>
      <c r="P103" s="127">
        <f t="shared" si="8"/>
        <v>0</v>
      </c>
      <c r="Q103" s="130" t="e">
        <f t="shared" si="4"/>
        <v>#DIV/0!</v>
      </c>
      <c r="R103" s="130" t="e">
        <f t="shared" si="5"/>
        <v>#DIV/0!</v>
      </c>
      <c r="S103" s="88"/>
      <c r="T103" s="133"/>
    </row>
    <row r="104" spans="13:20">
      <c r="M104" s="65" t="s">
        <v>79</v>
      </c>
      <c r="N104" s="72">
        <f t="shared" si="6"/>
        <v>0</v>
      </c>
      <c r="O104" s="127">
        <f t="shared" si="7"/>
        <v>0</v>
      </c>
      <c r="P104" s="127">
        <f t="shared" si="8"/>
        <v>0</v>
      </c>
      <c r="Q104" s="130" t="e">
        <f t="shared" si="4"/>
        <v>#DIV/0!</v>
      </c>
      <c r="R104" s="130" t="e">
        <f t="shared" si="5"/>
        <v>#DIV/0!</v>
      </c>
      <c r="S104" s="88"/>
      <c r="T104" s="133"/>
    </row>
    <row r="105" spans="13:20">
      <c r="M105" s="65" t="s">
        <v>15</v>
      </c>
      <c r="N105" s="72">
        <f t="shared" si="6"/>
        <v>0</v>
      </c>
      <c r="O105" s="127">
        <f t="shared" si="7"/>
        <v>0</v>
      </c>
      <c r="P105" s="127">
        <f t="shared" si="8"/>
        <v>0</v>
      </c>
      <c r="Q105" s="130" t="e">
        <f t="shared" si="4"/>
        <v>#DIV/0!</v>
      </c>
      <c r="R105" s="130" t="e">
        <f t="shared" si="5"/>
        <v>#DIV/0!</v>
      </c>
      <c r="S105" s="88"/>
      <c r="T105" s="133"/>
    </row>
    <row r="106" spans="13:20">
      <c r="M106" s="65" t="s">
        <v>80</v>
      </c>
      <c r="N106" s="72">
        <f t="shared" si="6"/>
        <v>0</v>
      </c>
      <c r="O106" s="127">
        <f t="shared" si="7"/>
        <v>0</v>
      </c>
      <c r="P106" s="127">
        <f t="shared" si="8"/>
        <v>0</v>
      </c>
      <c r="Q106" s="130" t="e">
        <f t="shared" si="4"/>
        <v>#DIV/0!</v>
      </c>
      <c r="R106" s="130" t="e">
        <f t="shared" si="5"/>
        <v>#DIV/0!</v>
      </c>
      <c r="S106" s="88"/>
      <c r="T106" s="133"/>
    </row>
    <row r="107" spans="13:20">
      <c r="M107" s="65" t="s">
        <v>59</v>
      </c>
      <c r="N107" s="72">
        <f>$B$6*B34</f>
        <v>0</v>
      </c>
      <c r="O107" s="127" t="e">
        <f>M25*$B$6</f>
        <v>#DIV/0!</v>
      </c>
      <c r="P107" s="127" t="e">
        <f>K25</f>
        <v>#DIV/0!</v>
      </c>
      <c r="Q107" s="130" t="e">
        <f>O107/N107*100</f>
        <v>#DIV/0!</v>
      </c>
      <c r="R107" s="130" t="e">
        <f>P107/N107*100</f>
        <v>#DIV/0!</v>
      </c>
      <c r="S107" s="88"/>
      <c r="T107" s="133"/>
    </row>
    <row r="108" spans="13:20">
      <c r="M108" s="81" t="s">
        <v>60</v>
      </c>
      <c r="N108" s="72">
        <f>$B$6*B35</f>
        <v>0</v>
      </c>
      <c r="O108" s="127" t="e">
        <f>M26*$B$6</f>
        <v>#DIV/0!</v>
      </c>
      <c r="P108" s="127" t="e">
        <f>K26</f>
        <v>#DIV/0!</v>
      </c>
      <c r="Q108" s="130" t="e">
        <f>O108/N108*100</f>
        <v>#DIV/0!</v>
      </c>
      <c r="R108" s="130" t="e">
        <f>P108/N108*100</f>
        <v>#DIV/0!</v>
      </c>
      <c r="S108" s="88"/>
      <c r="T108" s="133"/>
    </row>
    <row r="109" spans="13:20">
      <c r="M109" s="65" t="s">
        <v>61</v>
      </c>
      <c r="N109" s="72">
        <f>$B$6*B36</f>
        <v>0</v>
      </c>
      <c r="O109" s="127" t="e">
        <f>M27*$B$6</f>
        <v>#DIV/0!</v>
      </c>
      <c r="P109" s="127" t="e">
        <f>K27</f>
        <v>#DIV/0!</v>
      </c>
      <c r="Q109" s="130" t="e">
        <f>O109/N109*100</f>
        <v>#DIV/0!</v>
      </c>
      <c r="R109" s="130" t="e">
        <f>P109/N109*100</f>
        <v>#DIV/0!</v>
      </c>
      <c r="S109" s="88"/>
      <c r="T109" s="133"/>
    </row>
    <row r="110" spans="13:20">
      <c r="M110" s="65" t="s">
        <v>256</v>
      </c>
      <c r="N110" s="72">
        <f>$B$6*B37</f>
        <v>0</v>
      </c>
      <c r="O110" s="127">
        <f>M28*$B$6</f>
        <v>0</v>
      </c>
      <c r="P110" s="127">
        <f>K28</f>
        <v>0</v>
      </c>
      <c r="Q110" s="130" t="e">
        <f>O110/N110*100</f>
        <v>#DIV/0!</v>
      </c>
      <c r="R110" s="130" t="e">
        <f>P110/N110*100</f>
        <v>#DIV/0!</v>
      </c>
      <c r="S110" s="88"/>
      <c r="T110" s="133"/>
    </row>
    <row r="111" spans="13:20">
      <c r="S111" s="88"/>
      <c r="T111" s="133"/>
    </row>
    <row r="112" spans="13:20">
      <c r="M112" s="91"/>
      <c r="N112" s="223"/>
      <c r="O112" s="255"/>
      <c r="P112" s="255"/>
      <c r="Q112" s="256"/>
      <c r="R112" s="256"/>
      <c r="S112" s="88"/>
      <c r="T112" s="133"/>
    </row>
  </sheetData>
  <mergeCells count="3">
    <mergeCell ref="A11:C11"/>
    <mergeCell ref="M78:O78"/>
    <mergeCell ref="A1:E1"/>
  </mergeCells>
  <phoneticPr fontId="5" type="noConversion"/>
  <pageMargins left="0.75" right="0.75" top="1" bottom="1" header="0.5" footer="0.5"/>
  <pageSetup orientation="landscape" r:id="rId1"/>
  <headerFooter alignWithMargins="0"/>
</worksheet>
</file>

<file path=xl/worksheets/sheet7.xml><?xml version="1.0" encoding="utf-8"?>
<worksheet xmlns="http://schemas.openxmlformats.org/spreadsheetml/2006/main" xmlns:r="http://schemas.openxmlformats.org/officeDocument/2006/relationships">
  <sheetPr>
    <tabColor rgb="FF0070C0"/>
    <pageSetUpPr fitToPage="1"/>
  </sheetPr>
  <dimension ref="A1:Z119"/>
  <sheetViews>
    <sheetView workbookViewId="0">
      <selection activeCell="B4" sqref="B4"/>
    </sheetView>
  </sheetViews>
  <sheetFormatPr defaultRowHeight="12.75"/>
  <cols>
    <col min="1" max="1" width="42.42578125" style="57" customWidth="1"/>
    <col min="2" max="3" width="9.140625" style="57"/>
    <col min="4" max="4" width="2.42578125" style="57" customWidth="1"/>
    <col min="5" max="5" width="45.140625" style="57" customWidth="1"/>
    <col min="6" max="6" width="9.140625" style="57"/>
    <col min="7" max="7" width="13.42578125" style="57" customWidth="1"/>
    <col min="8" max="8" width="18.28515625" style="57" customWidth="1"/>
    <col min="9" max="9" width="3.7109375" style="57" customWidth="1"/>
    <col min="10" max="10" width="31.42578125" style="57" customWidth="1"/>
    <col min="11" max="12" width="9.140625" style="57"/>
    <col min="13" max="13" width="35.140625" style="57" customWidth="1"/>
    <col min="14" max="15" width="10" style="57" bestFit="1" customWidth="1"/>
    <col min="16" max="16" width="12.5703125" style="57" bestFit="1" customWidth="1"/>
    <col min="17" max="17" width="9.42578125" style="57" bestFit="1" customWidth="1"/>
    <col min="18" max="20" width="10" style="57" bestFit="1" customWidth="1"/>
    <col min="21" max="22" width="14.85546875" style="57" bestFit="1" customWidth="1"/>
    <col min="23" max="23" width="10.7109375" style="57" bestFit="1" customWidth="1"/>
    <col min="24" max="16384" width="9.140625" style="57"/>
  </cols>
  <sheetData>
    <row r="1" spans="1:15" ht="37.5" customHeight="1">
      <c r="A1" s="286" t="s">
        <v>268</v>
      </c>
      <c r="B1" s="285"/>
      <c r="C1" s="285"/>
      <c r="D1" s="285"/>
      <c r="E1" s="285"/>
    </row>
    <row r="2" spans="1:15">
      <c r="A2" s="68" t="s">
        <v>127</v>
      </c>
      <c r="B2" s="68" t="s">
        <v>4</v>
      </c>
      <c r="C2" s="68" t="s">
        <v>5</v>
      </c>
      <c r="D2" s="86"/>
      <c r="E2" s="68" t="s">
        <v>24</v>
      </c>
      <c r="F2" s="68" t="s">
        <v>4</v>
      </c>
      <c r="G2" s="68" t="s">
        <v>5</v>
      </c>
      <c r="H2" s="68" t="s">
        <v>57</v>
      </c>
      <c r="I2" s="86"/>
      <c r="J2" s="68" t="s">
        <v>22</v>
      </c>
      <c r="K2" s="68" t="s">
        <v>4</v>
      </c>
      <c r="L2" s="68" t="s">
        <v>5</v>
      </c>
      <c r="M2" s="68" t="s">
        <v>32</v>
      </c>
      <c r="N2" s="68" t="s">
        <v>5</v>
      </c>
      <c r="O2" s="69"/>
    </row>
    <row r="3" spans="1:15" ht="15.75">
      <c r="A3" s="56" t="s">
        <v>122</v>
      </c>
      <c r="B3" s="70">
        <v>50000</v>
      </c>
      <c r="C3" s="59" t="s">
        <v>1</v>
      </c>
      <c r="D3" s="58"/>
      <c r="E3" s="71" t="s">
        <v>164</v>
      </c>
      <c r="F3" s="75">
        <f>H3</f>
        <v>8.9300000000000004E-3</v>
      </c>
      <c r="G3" s="72" t="s">
        <v>25</v>
      </c>
      <c r="H3" s="101">
        <v>8.9300000000000004E-3</v>
      </c>
      <c r="I3" s="58"/>
      <c r="J3" s="60" t="s">
        <v>17</v>
      </c>
      <c r="K3" s="172">
        <f>IF(ABS(W47*M3*$B$3)&gt;N91,N91,(W47*M3*$B$3))</f>
        <v>8.10884194587735E-2</v>
      </c>
      <c r="L3" s="72" t="s">
        <v>23</v>
      </c>
      <c r="M3" s="173">
        <f t="shared" ref="M3:M24" si="0">$B$6*B15/(W47*$B$3+$B$6)</f>
        <v>8.2813941196997004E-2</v>
      </c>
      <c r="N3" s="59" t="s">
        <v>18</v>
      </c>
    </row>
    <row r="4" spans="1:15" ht="15.75">
      <c r="A4" s="71" t="s">
        <v>123</v>
      </c>
      <c r="B4" s="73">
        <v>19</v>
      </c>
      <c r="C4" s="59" t="s">
        <v>37</v>
      </c>
      <c r="D4" s="58"/>
      <c r="E4" s="71" t="s">
        <v>34</v>
      </c>
      <c r="F4" s="75">
        <f>H4</f>
        <v>1</v>
      </c>
      <c r="G4" s="72" t="s">
        <v>26</v>
      </c>
      <c r="H4" s="101">
        <v>1</v>
      </c>
      <c r="I4" s="58"/>
      <c r="J4" s="62" t="s">
        <v>6</v>
      </c>
      <c r="K4" s="172">
        <f t="shared" ref="K4:K24" si="1">IF(ABS(W48*M4*$B$3)&gt;N92,N92,(W48*M4*$B$3))</f>
        <v>8.4891200007934972E-2</v>
      </c>
      <c r="L4" s="72" t="s">
        <v>23</v>
      </c>
      <c r="M4" s="173">
        <f t="shared" si="0"/>
        <v>3.9800927407137449E-2</v>
      </c>
      <c r="N4" s="59" t="s">
        <v>18</v>
      </c>
    </row>
    <row r="5" spans="1:15" ht="15.75">
      <c r="A5" s="71" t="s">
        <v>130</v>
      </c>
      <c r="B5" s="87">
        <v>1</v>
      </c>
      <c r="C5" s="82" t="s">
        <v>3</v>
      </c>
      <c r="D5" s="58"/>
      <c r="E5" s="71" t="s">
        <v>36</v>
      </c>
      <c r="F5" s="75">
        <f>H5</f>
        <v>8.2100000000000003E-5</v>
      </c>
      <c r="G5" s="72" t="s">
        <v>162</v>
      </c>
      <c r="H5" s="101">
        <v>8.2100000000000003E-5</v>
      </c>
      <c r="I5" s="58"/>
      <c r="J5" s="62" t="s">
        <v>13</v>
      </c>
      <c r="K5" s="172">
        <f t="shared" si="1"/>
        <v>8.4930685295842384E-2</v>
      </c>
      <c r="L5" s="72" t="s">
        <v>23</v>
      </c>
      <c r="M5" s="173">
        <f t="shared" si="0"/>
        <v>3.9354311776468705E-2</v>
      </c>
      <c r="N5" s="59" t="s">
        <v>18</v>
      </c>
    </row>
    <row r="6" spans="1:15" ht="15.75">
      <c r="A6" s="56" t="s">
        <v>124</v>
      </c>
      <c r="B6" s="70">
        <v>8.8410000000000002E-2</v>
      </c>
      <c r="C6" s="59" t="s">
        <v>19</v>
      </c>
      <c r="D6" s="58"/>
      <c r="E6" s="71" t="s">
        <v>163</v>
      </c>
      <c r="F6" s="75">
        <f>H6</f>
        <v>1.8100000000000001E-4</v>
      </c>
      <c r="G6" s="72" t="s">
        <v>25</v>
      </c>
      <c r="H6" s="101">
        <v>1.8100000000000001E-4</v>
      </c>
      <c r="I6" s="58"/>
      <c r="J6" s="60" t="s">
        <v>69</v>
      </c>
      <c r="K6" s="172">
        <f t="shared" si="1"/>
        <v>8.4185499830271945E-2</v>
      </c>
      <c r="L6" s="72" t="s">
        <v>23</v>
      </c>
      <c r="M6" s="173">
        <f t="shared" si="0"/>
        <v>4.7783058135143643E-2</v>
      </c>
      <c r="N6" s="59" t="s">
        <v>18</v>
      </c>
    </row>
    <row r="7" spans="1:15" ht="15.75">
      <c r="A7" s="56" t="s">
        <v>131</v>
      </c>
      <c r="B7" s="74">
        <v>5</v>
      </c>
      <c r="C7" s="59" t="s">
        <v>46</v>
      </c>
      <c r="D7" s="58"/>
      <c r="E7" s="71" t="s">
        <v>27</v>
      </c>
      <c r="F7" s="75">
        <f>H7</f>
        <v>1.1999999999999999E-3</v>
      </c>
      <c r="G7" s="72" t="s">
        <v>26</v>
      </c>
      <c r="H7" s="101">
        <v>1.1999999999999999E-3</v>
      </c>
      <c r="I7" s="58"/>
      <c r="J7" s="62" t="s">
        <v>9</v>
      </c>
      <c r="K7" s="172">
        <f t="shared" si="1"/>
        <v>8.4305502045920785E-2</v>
      </c>
      <c r="L7" s="72" t="s">
        <v>23</v>
      </c>
      <c r="M7" s="173">
        <f t="shared" si="0"/>
        <v>4.6425720552869677E-2</v>
      </c>
      <c r="N7" s="59" t="s">
        <v>18</v>
      </c>
    </row>
    <row r="8" spans="1:15" ht="15.75">
      <c r="A8" s="56" t="s">
        <v>125</v>
      </c>
      <c r="B8" s="74">
        <v>100</v>
      </c>
      <c r="C8" s="72" t="s">
        <v>38</v>
      </c>
      <c r="D8" s="58"/>
      <c r="E8" s="71" t="s">
        <v>134</v>
      </c>
      <c r="F8" s="75">
        <f t="shared" ref="F8:F13" si="2">H8</f>
        <v>0</v>
      </c>
      <c r="G8" s="59" t="s">
        <v>1</v>
      </c>
      <c r="H8" s="101">
        <f>B3-B11</f>
        <v>0</v>
      </c>
      <c r="I8" s="58"/>
      <c r="J8" s="63" t="s">
        <v>7</v>
      </c>
      <c r="K8" s="172">
        <f t="shared" si="1"/>
        <v>8.430960362942265E-2</v>
      </c>
      <c r="L8" s="72" t="s">
        <v>23</v>
      </c>
      <c r="M8" s="173">
        <f t="shared" si="0"/>
        <v>4.637932779750413E-2</v>
      </c>
      <c r="N8" s="59" t="s">
        <v>18</v>
      </c>
    </row>
    <row r="9" spans="1:15" ht="15.75">
      <c r="A9" s="56" t="s">
        <v>126</v>
      </c>
      <c r="B9" s="74">
        <v>1</v>
      </c>
      <c r="C9" s="72" t="s">
        <v>52</v>
      </c>
      <c r="D9" s="58"/>
      <c r="E9" s="71" t="s">
        <v>42</v>
      </c>
      <c r="F9" s="75">
        <f t="shared" si="2"/>
        <v>0.83</v>
      </c>
      <c r="G9" s="59" t="s">
        <v>43</v>
      </c>
      <c r="H9" s="101">
        <v>0.83</v>
      </c>
      <c r="I9" s="58"/>
      <c r="J9" s="62" t="s">
        <v>8</v>
      </c>
      <c r="K9" s="172">
        <f t="shared" si="1"/>
        <v>8.4486574074067053E-2</v>
      </c>
      <c r="L9" s="72" t="s">
        <v>23</v>
      </c>
      <c r="M9" s="173">
        <f t="shared" si="0"/>
        <v>4.4377626127507661E-2</v>
      </c>
      <c r="N9" s="59" t="s">
        <v>18</v>
      </c>
    </row>
    <row r="10" spans="1:15" ht="15.75">
      <c r="A10" s="56" t="s">
        <v>56</v>
      </c>
      <c r="B10" s="75">
        <v>4.47</v>
      </c>
      <c r="C10" s="59" t="s">
        <v>0</v>
      </c>
      <c r="D10" s="104"/>
      <c r="E10" s="71" t="s">
        <v>44</v>
      </c>
      <c r="F10" s="75">
        <f t="shared" si="2"/>
        <v>3</v>
      </c>
      <c r="G10" s="59" t="s">
        <v>45</v>
      </c>
      <c r="H10" s="101">
        <v>3</v>
      </c>
      <c r="I10" s="58"/>
      <c r="J10" s="62" t="s">
        <v>11</v>
      </c>
      <c r="K10" s="172">
        <f t="shared" si="1"/>
        <v>8.4522664316148036E-2</v>
      </c>
      <c r="L10" s="72" t="s">
        <v>23</v>
      </c>
      <c r="M10" s="173">
        <f t="shared" si="0"/>
        <v>4.3969411648591299E-2</v>
      </c>
      <c r="N10" s="59" t="s">
        <v>18</v>
      </c>
    </row>
    <row r="11" spans="1:15" ht="15.75">
      <c r="A11" s="71" t="s">
        <v>121</v>
      </c>
      <c r="B11" s="75">
        <v>50000</v>
      </c>
      <c r="C11" s="59" t="s">
        <v>1</v>
      </c>
      <c r="D11" s="58"/>
      <c r="E11" s="71" t="s">
        <v>47</v>
      </c>
      <c r="F11" s="75">
        <f t="shared" si="2"/>
        <v>61</v>
      </c>
      <c r="G11" s="59" t="s">
        <v>2</v>
      </c>
      <c r="H11" s="101">
        <v>61</v>
      </c>
      <c r="I11" s="58"/>
      <c r="J11" s="63" t="s">
        <v>70</v>
      </c>
      <c r="K11" s="172">
        <f t="shared" si="1"/>
        <v>8.5057865972985744E-2</v>
      </c>
      <c r="L11" s="72" t="s">
        <v>23</v>
      </c>
      <c r="M11" s="173">
        <f t="shared" si="0"/>
        <v>3.7915779063615485E-2</v>
      </c>
      <c r="N11" s="59" t="s">
        <v>18</v>
      </c>
    </row>
    <row r="12" spans="1:15" ht="14.25">
      <c r="D12" s="58"/>
      <c r="E12" s="71" t="s">
        <v>48</v>
      </c>
      <c r="F12" s="100">
        <f t="shared" si="2"/>
        <v>2.0008000000000004</v>
      </c>
      <c r="G12" s="59" t="s">
        <v>49</v>
      </c>
      <c r="H12" s="102">
        <f>H11*0.0328</f>
        <v>2.0008000000000004</v>
      </c>
      <c r="I12" s="58"/>
      <c r="J12" s="63" t="s">
        <v>16</v>
      </c>
      <c r="K12" s="172">
        <f t="shared" si="1"/>
        <v>0</v>
      </c>
      <c r="L12" s="72" t="s">
        <v>23</v>
      </c>
      <c r="M12" s="173">
        <f t="shared" si="0"/>
        <v>0</v>
      </c>
      <c r="N12" s="59" t="s">
        <v>18</v>
      </c>
    </row>
    <row r="13" spans="1:15" ht="14.25">
      <c r="D13" s="58"/>
      <c r="E13" s="71" t="s">
        <v>50</v>
      </c>
      <c r="F13" s="75">
        <f t="shared" si="2"/>
        <v>126</v>
      </c>
      <c r="G13" s="59" t="s">
        <v>51</v>
      </c>
      <c r="H13" s="101">
        <v>126</v>
      </c>
      <c r="I13" s="58"/>
      <c r="J13" s="60" t="s">
        <v>71</v>
      </c>
      <c r="K13" s="172">
        <f t="shared" si="1"/>
        <v>0</v>
      </c>
      <c r="L13" s="72" t="s">
        <v>23</v>
      </c>
      <c r="M13" s="173">
        <f t="shared" si="0"/>
        <v>0</v>
      </c>
      <c r="N13" s="59" t="s">
        <v>18</v>
      </c>
    </row>
    <row r="14" spans="1:15" ht="15.75">
      <c r="A14" s="283" t="s">
        <v>102</v>
      </c>
      <c r="B14" s="293"/>
      <c r="C14" s="293"/>
      <c r="D14" s="58"/>
      <c r="E14" s="56" t="s">
        <v>90</v>
      </c>
      <c r="F14" s="97">
        <v>8.4999999999999999E-6</v>
      </c>
      <c r="G14" s="59" t="s">
        <v>89</v>
      </c>
      <c r="H14" s="103">
        <v>8.4999999999999999E-6</v>
      </c>
      <c r="I14" s="58"/>
      <c r="J14" s="62" t="s">
        <v>12</v>
      </c>
      <c r="K14" s="172">
        <f t="shared" si="1"/>
        <v>0</v>
      </c>
      <c r="L14" s="72" t="s">
        <v>23</v>
      </c>
      <c r="M14" s="173">
        <f t="shared" si="0"/>
        <v>0</v>
      </c>
      <c r="N14" s="59" t="s">
        <v>18</v>
      </c>
    </row>
    <row r="15" spans="1:15" ht="14.25">
      <c r="A15" s="60" t="s">
        <v>17</v>
      </c>
      <c r="B15" s="76">
        <v>1</v>
      </c>
      <c r="C15" s="59" t="s">
        <v>18</v>
      </c>
      <c r="D15" s="58"/>
      <c r="I15" s="58"/>
      <c r="J15" s="62" t="s">
        <v>10</v>
      </c>
      <c r="K15" s="172">
        <f t="shared" si="1"/>
        <v>0</v>
      </c>
      <c r="L15" s="72" t="s">
        <v>23</v>
      </c>
      <c r="M15" s="173">
        <f t="shared" si="0"/>
        <v>0</v>
      </c>
      <c r="N15" s="59" t="s">
        <v>18</v>
      </c>
    </row>
    <row r="16" spans="1:15" ht="14.25">
      <c r="A16" s="62" t="s">
        <v>6</v>
      </c>
      <c r="B16" s="76">
        <v>1</v>
      </c>
      <c r="C16" s="59" t="s">
        <v>18</v>
      </c>
      <c r="D16" s="58"/>
      <c r="I16" s="58"/>
      <c r="J16" s="63" t="s">
        <v>72</v>
      </c>
      <c r="K16" s="172">
        <f t="shared" si="1"/>
        <v>0</v>
      </c>
      <c r="L16" s="72" t="s">
        <v>23</v>
      </c>
      <c r="M16" s="173">
        <f t="shared" si="0"/>
        <v>0</v>
      </c>
      <c r="N16" s="59" t="s">
        <v>18</v>
      </c>
    </row>
    <row r="17" spans="1:14" ht="14.25">
      <c r="A17" s="62" t="s">
        <v>13</v>
      </c>
      <c r="B17" s="76">
        <v>1</v>
      </c>
      <c r="C17" s="59" t="s">
        <v>18</v>
      </c>
      <c r="D17" s="58"/>
      <c r="E17" s="78"/>
      <c r="F17" s="80"/>
      <c r="G17" s="79"/>
      <c r="H17" s="77"/>
      <c r="I17" s="58"/>
      <c r="J17" s="63" t="s">
        <v>73</v>
      </c>
      <c r="K17" s="172">
        <f t="shared" si="1"/>
        <v>0</v>
      </c>
      <c r="L17" s="72" t="s">
        <v>23</v>
      </c>
      <c r="M17" s="173">
        <f t="shared" si="0"/>
        <v>0</v>
      </c>
      <c r="N17" s="59" t="s">
        <v>18</v>
      </c>
    </row>
    <row r="18" spans="1:14" ht="14.25">
      <c r="A18" s="60" t="s">
        <v>69</v>
      </c>
      <c r="B18" s="76">
        <v>1</v>
      </c>
      <c r="C18" s="59" t="s">
        <v>18</v>
      </c>
      <c r="D18" s="58"/>
      <c r="I18" s="58"/>
      <c r="J18" s="64" t="s">
        <v>74</v>
      </c>
      <c r="K18" s="172">
        <f t="shared" si="1"/>
        <v>0</v>
      </c>
      <c r="L18" s="72" t="s">
        <v>23</v>
      </c>
      <c r="M18" s="173">
        <f t="shared" si="0"/>
        <v>0</v>
      </c>
      <c r="N18" s="59" t="s">
        <v>18</v>
      </c>
    </row>
    <row r="19" spans="1:14" ht="14.25">
      <c r="A19" s="62" t="s">
        <v>9</v>
      </c>
      <c r="B19" s="76">
        <v>1</v>
      </c>
      <c r="C19" s="59" t="s">
        <v>18</v>
      </c>
      <c r="D19" s="58"/>
      <c r="I19" s="58"/>
      <c r="J19" s="63" t="s">
        <v>75</v>
      </c>
      <c r="K19" s="172">
        <f t="shared" si="1"/>
        <v>0</v>
      </c>
      <c r="L19" s="72" t="s">
        <v>23</v>
      </c>
      <c r="M19" s="173">
        <f t="shared" si="0"/>
        <v>0</v>
      </c>
      <c r="N19" s="59" t="s">
        <v>18</v>
      </c>
    </row>
    <row r="20" spans="1:14" ht="14.25">
      <c r="A20" s="63" t="s">
        <v>7</v>
      </c>
      <c r="B20" s="76">
        <v>1</v>
      </c>
      <c r="C20" s="59" t="s">
        <v>18</v>
      </c>
      <c r="D20" s="58"/>
      <c r="I20" s="58"/>
      <c r="J20" s="64" t="s">
        <v>78</v>
      </c>
      <c r="K20" s="172">
        <f t="shared" si="1"/>
        <v>0</v>
      </c>
      <c r="L20" s="72" t="s">
        <v>23</v>
      </c>
      <c r="M20" s="173">
        <f t="shared" si="0"/>
        <v>0</v>
      </c>
      <c r="N20" s="59" t="s">
        <v>18</v>
      </c>
    </row>
    <row r="21" spans="1:14" ht="14.25">
      <c r="A21" s="62" t="s">
        <v>8</v>
      </c>
      <c r="B21" s="76">
        <v>1</v>
      </c>
      <c r="C21" s="59" t="s">
        <v>18</v>
      </c>
      <c r="D21" s="58"/>
      <c r="I21" s="58"/>
      <c r="J21" s="65" t="s">
        <v>14</v>
      </c>
      <c r="K21" s="172">
        <f t="shared" si="1"/>
        <v>0</v>
      </c>
      <c r="L21" s="72" t="s">
        <v>23</v>
      </c>
      <c r="M21" s="173">
        <f t="shared" si="0"/>
        <v>0</v>
      </c>
      <c r="N21" s="59" t="s">
        <v>18</v>
      </c>
    </row>
    <row r="22" spans="1:14" ht="14.25">
      <c r="A22" s="62" t="s">
        <v>11</v>
      </c>
      <c r="B22" s="76">
        <v>1</v>
      </c>
      <c r="C22" s="59" t="s">
        <v>18</v>
      </c>
      <c r="D22" s="58"/>
      <c r="I22" s="58"/>
      <c r="J22" s="65" t="s">
        <v>79</v>
      </c>
      <c r="K22" s="172">
        <f t="shared" si="1"/>
        <v>0</v>
      </c>
      <c r="L22" s="72" t="s">
        <v>23</v>
      </c>
      <c r="M22" s="173">
        <f t="shared" si="0"/>
        <v>0</v>
      </c>
      <c r="N22" s="59" t="s">
        <v>18</v>
      </c>
    </row>
    <row r="23" spans="1:14" ht="14.25">
      <c r="A23" s="63" t="s">
        <v>70</v>
      </c>
      <c r="B23" s="76">
        <v>1</v>
      </c>
      <c r="C23" s="59" t="s">
        <v>18</v>
      </c>
      <c r="D23" s="58"/>
      <c r="I23" s="58"/>
      <c r="J23" s="65" t="s">
        <v>15</v>
      </c>
      <c r="K23" s="172">
        <f t="shared" si="1"/>
        <v>0</v>
      </c>
      <c r="L23" s="72" t="s">
        <v>23</v>
      </c>
      <c r="M23" s="173">
        <f t="shared" si="0"/>
        <v>0</v>
      </c>
      <c r="N23" s="59" t="s">
        <v>18</v>
      </c>
    </row>
    <row r="24" spans="1:14" ht="14.25">
      <c r="A24" s="63" t="s">
        <v>16</v>
      </c>
      <c r="B24" s="76">
        <v>0</v>
      </c>
      <c r="C24" s="59" t="s">
        <v>18</v>
      </c>
      <c r="D24" s="58"/>
      <c r="I24" s="58"/>
      <c r="J24" s="65" t="s">
        <v>80</v>
      </c>
      <c r="K24" s="172">
        <f t="shared" si="1"/>
        <v>0</v>
      </c>
      <c r="L24" s="72" t="s">
        <v>23</v>
      </c>
      <c r="M24" s="173">
        <f t="shared" si="0"/>
        <v>0</v>
      </c>
      <c r="N24" s="59" t="s">
        <v>18</v>
      </c>
    </row>
    <row r="25" spans="1:14" ht="14.25">
      <c r="A25" s="60" t="s">
        <v>71</v>
      </c>
      <c r="B25" s="76">
        <v>0</v>
      </c>
      <c r="C25" s="59" t="s">
        <v>18</v>
      </c>
      <c r="D25" s="58"/>
      <c r="I25" s="58"/>
      <c r="J25" s="65" t="s">
        <v>59</v>
      </c>
      <c r="K25" s="172" t="e">
        <f>IF(ABS(W69*M25*$B$3)&gt;N113,N113,(W69*M25*$B$3))</f>
        <v>#DIV/0!</v>
      </c>
      <c r="L25" s="72" t="s">
        <v>23</v>
      </c>
      <c r="M25" s="173" t="e">
        <f>$B$6*B37/(W69*$B$3+$B$6)</f>
        <v>#DIV/0!</v>
      </c>
      <c r="N25" s="59" t="s">
        <v>18</v>
      </c>
    </row>
    <row r="26" spans="1:14" ht="14.25">
      <c r="A26" s="62" t="s">
        <v>12</v>
      </c>
      <c r="B26" s="76">
        <v>0</v>
      </c>
      <c r="C26" s="59" t="s">
        <v>18</v>
      </c>
      <c r="D26" s="58"/>
      <c r="I26" s="58"/>
      <c r="J26" s="81" t="s">
        <v>60</v>
      </c>
      <c r="K26" s="172" t="e">
        <f>IF(ABS(W70*M26*$B$3)&gt;N114,N114,(W70*M26*$B$3))</f>
        <v>#DIV/0!</v>
      </c>
      <c r="L26" s="72" t="s">
        <v>23</v>
      </c>
      <c r="M26" s="173" t="e">
        <f>$B$6*B38/(W70*$B$3+$B$6)</f>
        <v>#DIV/0!</v>
      </c>
      <c r="N26" s="59" t="s">
        <v>18</v>
      </c>
    </row>
    <row r="27" spans="1:14" ht="14.25">
      <c r="A27" s="62" t="s">
        <v>10</v>
      </c>
      <c r="B27" s="76">
        <v>0</v>
      </c>
      <c r="C27" s="59" t="s">
        <v>18</v>
      </c>
      <c r="D27" s="58"/>
      <c r="I27" s="58"/>
      <c r="J27" s="65" t="s">
        <v>61</v>
      </c>
      <c r="K27" s="172" t="e">
        <f>IF(ABS(W71*M27*$B$3)&gt;N115,N115,(W71*M27*$B$3))</f>
        <v>#DIV/0!</v>
      </c>
      <c r="L27" s="72" t="s">
        <v>23</v>
      </c>
      <c r="M27" s="173" t="e">
        <f>$B$6*B39/(W71*$B$3+$B$6)</f>
        <v>#DIV/0!</v>
      </c>
      <c r="N27" s="59" t="s">
        <v>18</v>
      </c>
    </row>
    <row r="28" spans="1:14" ht="14.25">
      <c r="A28" s="63" t="s">
        <v>72</v>
      </c>
      <c r="B28" s="76">
        <v>0</v>
      </c>
      <c r="C28" s="59" t="s">
        <v>18</v>
      </c>
      <c r="D28" s="58"/>
      <c r="I28" s="58"/>
      <c r="J28" s="65" t="s">
        <v>256</v>
      </c>
      <c r="K28" s="172">
        <f>IF(ABS(W72*M28*$B$3)&gt;N116,N116,(W72*M28*$B$3))</f>
        <v>0</v>
      </c>
      <c r="L28" s="72" t="s">
        <v>23</v>
      </c>
      <c r="M28" s="173">
        <f>$B$6*B40/(W72*$B$3+$B$6)</f>
        <v>0</v>
      </c>
      <c r="N28" s="59" t="s">
        <v>18</v>
      </c>
    </row>
    <row r="29" spans="1:14" ht="14.25">
      <c r="A29" s="63" t="s">
        <v>73</v>
      </c>
      <c r="B29" s="76">
        <v>0</v>
      </c>
      <c r="C29" s="59" t="s">
        <v>18</v>
      </c>
      <c r="D29" s="58"/>
      <c r="I29" s="58"/>
    </row>
    <row r="30" spans="1:14" ht="14.25">
      <c r="A30" s="64" t="s">
        <v>74</v>
      </c>
      <c r="B30" s="76">
        <v>0</v>
      </c>
      <c r="C30" s="59" t="s">
        <v>18</v>
      </c>
      <c r="D30" s="58"/>
      <c r="I30" s="58"/>
      <c r="J30" s="212"/>
      <c r="K30" s="259"/>
      <c r="L30" s="89"/>
      <c r="M30" s="259"/>
      <c r="N30" s="185"/>
    </row>
    <row r="31" spans="1:14" ht="14.25">
      <c r="A31" s="63" t="s">
        <v>75</v>
      </c>
      <c r="B31" s="76">
        <v>0</v>
      </c>
      <c r="C31" s="59" t="s">
        <v>18</v>
      </c>
      <c r="D31" s="58"/>
      <c r="I31" s="55"/>
      <c r="J31" s="55"/>
      <c r="K31" s="55"/>
      <c r="L31" s="80"/>
      <c r="M31" s="55"/>
      <c r="N31" s="79"/>
    </row>
    <row r="32" spans="1:14" ht="14.25">
      <c r="A32" s="64" t="s">
        <v>78</v>
      </c>
      <c r="B32" s="76">
        <v>0</v>
      </c>
      <c r="C32" s="59" t="s">
        <v>18</v>
      </c>
      <c r="D32" s="58"/>
      <c r="I32" s="55"/>
      <c r="J32" s="55"/>
      <c r="K32" s="55"/>
      <c r="L32" s="80"/>
      <c r="M32" s="55"/>
      <c r="N32" s="79"/>
    </row>
    <row r="33" spans="1:26" ht="14.25">
      <c r="A33" s="65" t="s">
        <v>14</v>
      </c>
      <c r="B33" s="76">
        <v>0</v>
      </c>
      <c r="C33" s="59" t="s">
        <v>18</v>
      </c>
      <c r="D33" s="58"/>
      <c r="I33" s="55"/>
      <c r="J33" s="55"/>
      <c r="K33" s="55"/>
      <c r="L33" s="80"/>
      <c r="M33" s="55"/>
      <c r="N33" s="79"/>
      <c r="Z33" s="57">
        <f>396+40+59.95+0</f>
        <v>495.95</v>
      </c>
    </row>
    <row r="34" spans="1:26" ht="14.25">
      <c r="A34" s="65" t="s">
        <v>79</v>
      </c>
      <c r="B34" s="76">
        <v>0</v>
      </c>
      <c r="C34" s="59" t="s">
        <v>18</v>
      </c>
      <c r="D34" s="58"/>
      <c r="I34" s="55"/>
      <c r="J34" s="55"/>
      <c r="K34" s="55"/>
      <c r="L34" s="80"/>
      <c r="M34" s="55"/>
      <c r="N34" s="79"/>
      <c r="Z34" s="57">
        <f>565.25/2</f>
        <v>282.625</v>
      </c>
    </row>
    <row r="35" spans="1:26" ht="14.25">
      <c r="A35" s="65" t="s">
        <v>15</v>
      </c>
      <c r="B35" s="76">
        <v>0</v>
      </c>
      <c r="C35" s="59" t="s">
        <v>18</v>
      </c>
      <c r="D35" s="58"/>
      <c r="I35" s="55"/>
      <c r="J35" s="55"/>
      <c r="K35" s="55"/>
      <c r="L35" s="80"/>
      <c r="M35" s="55"/>
      <c r="N35" s="79"/>
      <c r="Z35" s="57">
        <f>565.25-30.3</f>
        <v>534.95000000000005</v>
      </c>
    </row>
    <row r="36" spans="1:26" ht="14.25">
      <c r="A36" s="65" t="s">
        <v>80</v>
      </c>
      <c r="B36" s="76">
        <v>0</v>
      </c>
      <c r="C36" s="59" t="s">
        <v>18</v>
      </c>
      <c r="D36" s="58"/>
      <c r="I36" s="55"/>
      <c r="J36" s="55"/>
      <c r="K36" s="55"/>
      <c r="L36" s="80"/>
      <c r="M36" s="55"/>
      <c r="N36" s="79"/>
      <c r="Z36" s="57">
        <f>Z35/2</f>
        <v>267.47500000000002</v>
      </c>
    </row>
    <row r="37" spans="1:26" ht="14.25">
      <c r="A37" s="65" t="s">
        <v>59</v>
      </c>
      <c r="B37" s="76">
        <v>0</v>
      </c>
      <c r="C37" s="59" t="s">
        <v>18</v>
      </c>
      <c r="D37" s="58"/>
      <c r="I37" s="55"/>
      <c r="J37" s="55"/>
      <c r="K37" s="55"/>
      <c r="L37" s="80"/>
      <c r="M37" s="55"/>
      <c r="N37" s="79"/>
      <c r="Z37" s="57">
        <f>Z36/2</f>
        <v>133.73750000000001</v>
      </c>
    </row>
    <row r="38" spans="1:26" ht="14.25">
      <c r="A38" s="81" t="s">
        <v>60</v>
      </c>
      <c r="B38" s="76">
        <v>0</v>
      </c>
      <c r="C38" s="82" t="s">
        <v>18</v>
      </c>
      <c r="D38" s="88"/>
      <c r="J38" s="55"/>
      <c r="K38" s="55"/>
      <c r="L38" s="80"/>
      <c r="M38" s="55"/>
      <c r="N38" s="79"/>
    </row>
    <row r="39" spans="1:26" ht="14.25">
      <c r="A39" s="65" t="s">
        <v>61</v>
      </c>
      <c r="B39" s="76">
        <v>0</v>
      </c>
      <c r="C39" s="59" t="s">
        <v>18</v>
      </c>
      <c r="D39" s="88"/>
    </row>
    <row r="40" spans="1:26" ht="14.25">
      <c r="A40" s="65" t="s">
        <v>256</v>
      </c>
      <c r="B40" s="76">
        <v>0</v>
      </c>
      <c r="C40" s="59" t="s">
        <v>18</v>
      </c>
      <c r="D40" s="88"/>
    </row>
    <row r="41" spans="1:26">
      <c r="D41" s="55"/>
    </row>
    <row r="42" spans="1:26">
      <c r="A42" s="91"/>
      <c r="B42" s="216"/>
      <c r="C42" s="79"/>
      <c r="D42" s="55"/>
    </row>
    <row r="43" spans="1:26" ht="15.75">
      <c r="A43" s="55"/>
      <c r="B43" s="55"/>
      <c r="C43" s="79"/>
      <c r="D43" s="55"/>
      <c r="M43" s="56" t="s">
        <v>56</v>
      </c>
      <c r="N43" s="274">
        <f>IF(B10&lt;minWindSpd,minWindSpd,B10)</f>
        <v>4.47</v>
      </c>
      <c r="O43" s="59" t="s">
        <v>0</v>
      </c>
    </row>
    <row r="44" spans="1:26">
      <c r="A44" s="55"/>
      <c r="B44" s="55"/>
      <c r="C44" s="79"/>
      <c r="D44" s="55"/>
      <c r="M44" s="273" t="str">
        <f>IF(B10&lt;minWindSpd,CONCATENATE("Windspeed has been set at ",TEXT(minWindSpd,"0.##")," m/s, which is the minimum windspeed for the mass transfer calculations"),"")</f>
        <v/>
      </c>
    </row>
    <row r="45" spans="1:26">
      <c r="A45" s="55"/>
      <c r="B45" s="55"/>
      <c r="C45" s="79"/>
      <c r="D45" s="55"/>
    </row>
    <row r="46" spans="1:26" ht="14.25">
      <c r="A46" s="55"/>
      <c r="B46" s="55"/>
      <c r="C46" s="79"/>
      <c r="D46" s="55"/>
      <c r="H46" s="55"/>
      <c r="I46" s="295"/>
      <c r="J46" s="295"/>
      <c r="K46" s="295"/>
      <c r="L46" s="55"/>
      <c r="M46" s="83" t="s">
        <v>21</v>
      </c>
      <c r="N46" s="83" t="s">
        <v>107</v>
      </c>
      <c r="O46" s="83" t="s">
        <v>103</v>
      </c>
      <c r="P46" s="83" t="s">
        <v>108</v>
      </c>
      <c r="Q46" s="83" t="s">
        <v>104</v>
      </c>
      <c r="R46" s="83" t="s">
        <v>105</v>
      </c>
      <c r="S46" s="83" t="s">
        <v>109</v>
      </c>
      <c r="T46" s="83" t="s">
        <v>35</v>
      </c>
      <c r="U46" s="83" t="s">
        <v>110</v>
      </c>
      <c r="V46" s="83" t="s">
        <v>111</v>
      </c>
      <c r="W46" s="83" t="s">
        <v>112</v>
      </c>
    </row>
    <row r="47" spans="1:26">
      <c r="A47" s="55"/>
      <c r="B47" s="55"/>
      <c r="C47" s="55"/>
      <c r="D47" s="55"/>
      <c r="H47" s="55"/>
      <c r="I47" s="55"/>
      <c r="J47" s="55"/>
      <c r="K47" s="55"/>
      <c r="L47" s="55"/>
      <c r="M47" s="60" t="s">
        <v>17</v>
      </c>
      <c r="N47" s="105">
        <f>$F$3/($F$4*IF(ABS('Chemical Properties'!F41)&gt;0,'Chemical Properties'!F41,'Chemical Properties'!F4))</f>
        <v>544.51219512195132</v>
      </c>
      <c r="O47" s="105">
        <f>$F$6/($F$7*IF(ABS('Chemical Properties'!G41)&gt;0,'Chemical Properties'!G41,'Chemical Properties'!G4))</f>
        <v>1.0055555555555558</v>
      </c>
      <c r="P47" s="105">
        <f>IF($N$43&lt;3.25,0.00000278*(IF(ABS('Chemical Properties'!F41)&gt;0,'Chemical Properties'!F41,'Chemical Properties'!F4)/$F$14)^(2/3),IF($N$82&lt;14,IF($N$84&lt;0.3,0.000001+0.0144*$N$84^2.2*N47^(-0.5),0.000001+0.00341*$N$84*N47^(-0.5)),IF($N$82&lt;=51.2,(0.000000002605*$N$82+0.0000001277)*$N$43^2*(IF(ABS('Chemical Properties'!F41)&gt;0,'Chemical Properties'!F41,'Chemical Properties'!F4)/$F$14)^(2/3),0.000000261*$N$43^2*(IF(ABS('Chemical Properties'!F41)&gt;0,'Chemical Properties'!F41,'Chemical Properties'!F4)/$F$14)^(2/3))))</f>
        <v>8.0252443152923303E-6</v>
      </c>
      <c r="Q47" s="105">
        <f t="shared" ref="Q47:Q72" si="3">4.82*10^(-3)*$N$43^(0.78)*O47^(-0.67)*$N$83^(-0.11)</f>
        <v>8.4032893999681467E-3</v>
      </c>
      <c r="R47" s="105">
        <f>IF($B$11=0,0,(8.22*10^(-9)*$F$10*$B$8*1.024^($B$4-20)*$F$9*10^6*18/($B$11*10.758*$F$4)))*(IF(ABS('Chemical Properties'!F41)&gt;0,'Chemical Properties'!F41,'Chemical Properties'!F4)/0.000024)^(0.5)</f>
        <v>5.5291512723230439E-5</v>
      </c>
      <c r="S47" s="105">
        <f>1.35*10^(-7)*$N$79^(1.42)*$N$78^(0.4)*$N$80^(-0.21)*IF(ABS('Chemical Properties'!G41)&gt;0,'Chemical Properties'!G41,'Chemical Properties'!G4)*29*$F$11^(-1)</f>
        <v>0.15985017396612083</v>
      </c>
      <c r="T47" s="105">
        <f>IF(ABS('Chemical Properties'!E41)&gt;0,'Chemical Properties'!E41,'Chemical Properties'!E4)/($F$5*($B$4+273.15))</f>
        <v>1.8969782387411735E-4</v>
      </c>
      <c r="U47" s="105">
        <f>(R47*T47*S47)/(T47*S47+R47)</f>
        <v>1.9583277473989832E-5</v>
      </c>
      <c r="V47" s="105">
        <f>(P47*T47*Q47)/(T47*Q47+P47)</f>
        <v>1.3299187433801294E-6</v>
      </c>
      <c r="W47" s="105">
        <f t="shared" ref="W47:W68" si="4">(U47*$B$11+V47*$F$8)/$B$3</f>
        <v>1.9583277473989832E-5</v>
      </c>
    </row>
    <row r="48" spans="1:26">
      <c r="H48" s="55"/>
      <c r="I48" s="55"/>
      <c r="J48" s="55"/>
      <c r="K48" s="55"/>
      <c r="L48" s="55"/>
      <c r="M48" s="62" t="s">
        <v>6</v>
      </c>
      <c r="N48" s="105">
        <f>$F$3/($F$4*IF(ABS('Chemical Properties'!F42)&gt;0,'Chemical Properties'!F42,'Chemical Properties'!F5))</f>
        <v>911.22448979591843</v>
      </c>
      <c r="O48" s="105">
        <f>$F$6/($F$7*IF(ABS('Chemical Properties'!G42)&gt;0,'Chemical Properties'!G42,'Chemical Properties'!G5))</f>
        <v>1.714015151515152</v>
      </c>
      <c r="P48" s="105">
        <f>IF($N$43&lt;3.25,0.00000278*(IF(ABS('Chemical Properties'!F42)&gt;0,'Chemical Properties'!F42,'Chemical Properties'!F5)/$F$14)^(2/3),IF($N$82&lt;14,IF($N$84&lt;0.3,0.000001+0.0144*$N$84^2.2*N48^(-0.5),0.000001+0.00341*$N$84*N48^(-0.5)),IF($N$82&lt;=51.2,(0.000000002605*$N$82+0.0000001277)*$N$43^2*(IF(ABS('Chemical Properties'!F42)&gt;0,'Chemical Properties'!F42,'Chemical Properties'!F5)/$F$14)^(2/3),0.000000261*$N$43^2*(IF(ABS('Chemical Properties'!F42)&gt;0,'Chemical Properties'!F42,'Chemical Properties'!F5)/$F$14)^(2/3))))</f>
        <v>5.6935055423682253E-6</v>
      </c>
      <c r="Q48" s="105">
        <f t="shared" si="3"/>
        <v>5.8785682836441895E-3</v>
      </c>
      <c r="R48" s="105">
        <f>IF($B$11=0,0,(8.22*10^(-9)*$F$10*$B$8*1.024^($B$4-20)*$F$9*10^6*18/($B$11*10.758*$F$4)))*(IF(ABS('Chemical Properties'!F42)&gt;0,'Chemical Properties'!F42,'Chemical Properties'!F5)/0.000024)^(0.5)</f>
        <v>4.274148290309192E-5</v>
      </c>
      <c r="S48" s="105">
        <f>1.35*10^(-7)*$N$79^(1.42)*$N$78^(0.4)*$N$80^(-0.21)*IF(ABS('Chemical Properties'!G42)&gt;0,'Chemical Properties'!G42,'Chemical Properties'!G5)*29*$F$11^(-1)</f>
        <v>9.377876872679089E-2</v>
      </c>
      <c r="T48" s="105">
        <f>IF(ABS('Chemical Properties'!E42)&gt;0,'Chemical Properties'!E42,'Chemical Properties'!E5)/($F$5*($B$4+273.15))</f>
        <v>0.23261062830152759</v>
      </c>
      <c r="U48" s="105">
        <f t="shared" ref="U48:U68" si="5">(R48*T48*S48)/(T48*S48+R48)</f>
        <v>4.2657900475309804E-5</v>
      </c>
      <c r="V48" s="105">
        <f t="shared" ref="V48:V68" si="6">(P48*T48*Q48)/(T48*Q48+P48)</f>
        <v>5.6698978324832343E-6</v>
      </c>
      <c r="W48" s="105">
        <f t="shared" si="4"/>
        <v>4.2657900475309798E-5</v>
      </c>
    </row>
    <row r="49" spans="8:23">
      <c r="H49" s="55"/>
      <c r="I49" s="55"/>
      <c r="J49" s="55"/>
      <c r="K49" s="55"/>
      <c r="L49" s="55"/>
      <c r="M49" s="62" t="s">
        <v>13</v>
      </c>
      <c r="N49" s="105">
        <f>$F$3/($F$4*IF(ABS('Chemical Properties'!F43)&gt;0,'Chemical Properties'!F43,'Chemical Properties'!F6))</f>
        <v>893</v>
      </c>
      <c r="O49" s="105">
        <f>$F$6/($F$7*IF(ABS('Chemical Properties'!G43)&gt;0,'Chemical Properties'!G43,'Chemical Properties'!G6))</f>
        <v>1.4503205128205132</v>
      </c>
      <c r="P49" s="105">
        <f>IF($N$43&lt;3.25,0.00000278*(IF(ABS('Chemical Properties'!F43)&gt;0,'Chemical Properties'!F43,'Chemical Properties'!F6)/$F$14)^(2/3),IF($N$82&lt;14,IF($N$84&lt;0.3,0.000001+0.0144*$N$84^2.2*N49^(-0.5),0.000001+0.00341*$N$84*N49^(-0.5)),IF($N$82&lt;=51.2,(0.000000002605*$N$82+0.0000001277)*$N$43^2*(IF(ABS('Chemical Properties'!F43)&gt;0,'Chemical Properties'!F43,'Chemical Properties'!F6)/$F$14)^(2/3),0.000000261*$N$43^2*(IF(ABS('Chemical Properties'!F43)&gt;0,'Chemical Properties'!F43,'Chemical Properties'!F6)/$F$14)^(2/3))))</f>
        <v>5.770707086129968E-6</v>
      </c>
      <c r="Q49" s="105">
        <f t="shared" si="3"/>
        <v>6.5747692330334695E-3</v>
      </c>
      <c r="R49" s="105">
        <f>IF($B$11=0,0,(8.22*10^(-9)*$F$10*$B$8*1.024^($B$4-20)*$F$9*10^6*18/($B$11*10.758*$F$4)))*(IF(ABS('Chemical Properties'!F43)&gt;0,'Chemical Properties'!F43,'Chemical Properties'!F6)/0.000024)^(0.5)</f>
        <v>4.317541771249312E-5</v>
      </c>
      <c r="S49" s="105">
        <f>1.35*10^(-7)*$N$79^(1.42)*$N$78^(0.4)*$N$80^(-0.21)*IF(ABS('Chemical Properties'!G43)&gt;0,'Chemical Properties'!G43,'Chemical Properties'!G6)*29*$F$11^(-1)</f>
        <v>0.11082945394984378</v>
      </c>
      <c r="T49" s="105">
        <f>IF(ABS('Chemical Properties'!E43)&gt;0,'Chemical Properties'!E43,'Chemical Properties'!E6)/($F$5*($B$4+273.15))</f>
        <v>1.2600788426810396</v>
      </c>
      <c r="U49" s="105">
        <f t="shared" si="5"/>
        <v>4.3162073715452631E-5</v>
      </c>
      <c r="V49" s="105">
        <f t="shared" si="6"/>
        <v>5.7666903118642856E-6</v>
      </c>
      <c r="W49" s="105">
        <f t="shared" si="4"/>
        <v>4.3162073715452631E-5</v>
      </c>
    </row>
    <row r="50" spans="8:23">
      <c r="M50" s="60" t="s">
        <v>69</v>
      </c>
      <c r="N50" s="105">
        <f>$F$3/($F$4*IF(ABS('Chemical Properties'!F44)&gt;0,'Chemical Properties'!F44,'Chemical Properties'!F7))</f>
        <v>911.22448979591843</v>
      </c>
      <c r="O50" s="105">
        <f>$F$6/($F$7*IF(ABS('Chemical Properties'!G44)&gt;0,'Chemical Properties'!G44,'Chemical Properties'!G7))</f>
        <v>1.866749174917492</v>
      </c>
      <c r="P50" s="105">
        <f>IF($N$43&lt;3.25,0.00000278*(IF(ABS('Chemical Properties'!F44)&gt;0,'Chemical Properties'!F44,'Chemical Properties'!F7)/$F$14)^(2/3),IF($N$82&lt;14,IF($N$84&lt;0.3,0.000001+0.0144*$N$84^2.2*N50^(-0.5),0.000001+0.00341*$N$84*N50^(-0.5)),IF($N$82&lt;=51.2,(0.000000002605*$N$82+0.0000001277)*$N$43^2*(IF(ABS('Chemical Properties'!F44)&gt;0,'Chemical Properties'!F44,'Chemical Properties'!F7)/$F$14)^(2/3),0.000000261*$N$43^2*(IF(ABS('Chemical Properties'!F44)&gt;0,'Chemical Properties'!F44,'Chemical Properties'!F7)/$F$14)^(2/3))))</f>
        <v>5.6935055423682253E-6</v>
      </c>
      <c r="Q50" s="105">
        <f t="shared" si="3"/>
        <v>5.5517996934734597E-3</v>
      </c>
      <c r="R50" s="105">
        <f>IF($B$11=0,0,(8.22*10^(-9)*$F$10*$B$8*1.024^($B$4-20)*$F$9*10^6*18/($B$11*10.758*$F$4)))*(IF(ABS('Chemical Properties'!F44)&gt;0,'Chemical Properties'!F44,'Chemical Properties'!F7)/0.000024)^(0.5)</f>
        <v>4.274148290309192E-5</v>
      </c>
      <c r="S50" s="105">
        <f>1.35*10^(-7)*$N$79^(1.42)*$N$78^(0.4)*$N$80^(-0.21)*IF(ABS('Chemical Properties'!G44)&gt;0,'Chemical Properties'!G44,'Chemical Properties'!G7)*29*$F$11^(-1)</f>
        <v>8.6105960376417087E-2</v>
      </c>
      <c r="T50" s="105">
        <f>IF(ABS('Chemical Properties'!E44)&gt;0,'Chemical Properties'!E44,'Chemical Properties'!E7)/($F$5*($B$4+273.15))</f>
        <v>2.3305732647391562E-3</v>
      </c>
      <c r="U50" s="105">
        <f t="shared" si="5"/>
        <v>3.5236547477632002E-5</v>
      </c>
      <c r="V50" s="105">
        <f t="shared" si="6"/>
        <v>3.9537383850015413E-6</v>
      </c>
      <c r="W50" s="105">
        <f t="shared" si="4"/>
        <v>3.5236547477632002E-5</v>
      </c>
    </row>
    <row r="51" spans="8:23">
      <c r="M51" s="62" t="s">
        <v>9</v>
      </c>
      <c r="N51" s="105">
        <f>$F$3/($F$4*IF(ABS('Chemical Properties'!F45)&gt;0,'Chemical Properties'!F45,'Chemical Properties'!F8))</f>
        <v>1190.6666666666667</v>
      </c>
      <c r="O51" s="105">
        <f>$F$6/($F$7*IF(ABS('Chemical Properties'!G45)&gt;0,'Chemical Properties'!G45,'Chemical Properties'!G8))</f>
        <v>2.5564971751412435</v>
      </c>
      <c r="P51" s="105">
        <f>IF($N$43&lt;3.25,0.00000278*(IF(ABS('Chemical Properties'!F45)&gt;0,'Chemical Properties'!F45,'Chemical Properties'!F8)/$F$14)^(2/3),IF($N$82&lt;14,IF($N$84&lt;0.3,0.000001+0.0144*$N$84^2.2*N51^(-0.5),0.000001+0.00341*$N$84*N51^(-0.5)),IF($N$82&lt;=51.2,(0.000000002605*$N$82+0.0000001277)*$N$43^2*(IF(ABS('Chemical Properties'!F45)&gt;0,'Chemical Properties'!F45,'Chemical Properties'!F8)/$F$14)^(2/3),0.000000261*$N$43^2*(IF(ABS('Chemical Properties'!F45)&gt;0,'Chemical Properties'!F45,'Chemical Properties'!F8)/$F$14)^(2/3))))</f>
        <v>4.7636137432704627E-6</v>
      </c>
      <c r="Q51" s="105">
        <f t="shared" si="3"/>
        <v>4.4971670981960961E-3</v>
      </c>
      <c r="R51" s="105">
        <f>IF($B$11=0,0,(8.22*10^(-9)*$F$10*$B$8*1.024^($B$4-20)*$F$9*10^6*18/($B$11*10.758*$F$4)))*(IF(ABS('Chemical Properties'!F45)&gt;0,'Chemical Properties'!F45,'Chemical Properties'!F8)/0.000024)^(0.5)</f>
        <v>3.7391008558023663E-5</v>
      </c>
      <c r="S51" s="105">
        <f>1.35*10^(-7)*$N$79^(1.42)*$N$78^(0.4)*$N$80^(-0.21)*IF(ABS('Chemical Properties'!G45)&gt;0,'Chemical Properties'!G45,'Chemical Properties'!G8)*29*$F$11^(-1)</f>
        <v>6.2874401760007526E-2</v>
      </c>
      <c r="T51" s="105">
        <f>IF(ABS('Chemical Properties'!E45)&gt;0,'Chemical Properties'!E45,'Chemical Properties'!E8)/($F$5*($B$4+273.15))</f>
        <v>2.0137153611252456E-2</v>
      </c>
      <c r="U51" s="105">
        <f t="shared" si="5"/>
        <v>3.631844634480732E-5</v>
      </c>
      <c r="V51" s="105">
        <f t="shared" si="6"/>
        <v>4.5255616954666389E-6</v>
      </c>
      <c r="W51" s="105">
        <f t="shared" si="4"/>
        <v>3.631844634480732E-5</v>
      </c>
    </row>
    <row r="52" spans="8:23">
      <c r="M52" s="63" t="s">
        <v>7</v>
      </c>
      <c r="N52" s="105">
        <f>$F$3/($F$4*IF(ABS('Chemical Properties'!F46)&gt;0,'Chemical Properties'!F46,'Chemical Properties'!F9))</f>
        <v>1257.7464788732395</v>
      </c>
      <c r="O52" s="105">
        <f>$F$6/($F$7*IF(ABS('Chemical Properties'!G46)&gt;0,'Chemical Properties'!G46,'Chemical Properties'!G9))</f>
        <v>1.7538759689922483</v>
      </c>
      <c r="P52" s="105">
        <f>IF($N$43&lt;3.25,0.00000278*(IF(ABS('Chemical Properties'!F46)&gt;0,'Chemical Properties'!F46,'Chemical Properties'!F9)/$F$14)^(2/3),IF($N$82&lt;14,IF($N$84&lt;0.3,0.000001+0.0144*$N$84^2.2*N52^(-0.5),0.000001+0.00341*$N$84*N52^(-0.5)),IF($N$82&lt;=51.2,(0.000000002605*$N$82+0.0000001277)*$N$43^2*(IF(ABS('Chemical Properties'!F46)&gt;0,'Chemical Properties'!F46,'Chemical Properties'!F9)/$F$14)^(2/3),0.000000261*$N$43^2*(IF(ABS('Chemical Properties'!F46)&gt;0,'Chemical Properties'!F46,'Chemical Properties'!F9)/$F$14)^(2/3))))</f>
        <v>4.5926984348689746E-6</v>
      </c>
      <c r="Q52" s="105">
        <f t="shared" si="3"/>
        <v>5.7887146138423757E-3</v>
      </c>
      <c r="R52" s="105">
        <f>IF($B$11=0,0,(8.22*10^(-9)*$F$10*$B$8*1.024^($B$4-20)*$F$9*10^6*18/($B$11*10.758*$F$4)))*(IF(ABS('Chemical Properties'!F46)&gt;0,'Chemical Properties'!F46,'Chemical Properties'!F9)/0.000024)^(0.5)</f>
        <v>3.6380253616491849E-5</v>
      </c>
      <c r="S52" s="105">
        <f>1.35*10^(-7)*$N$79^(1.42)*$N$78^(0.4)*$N$80^(-0.21)*IF(ABS('Chemical Properties'!G46)&gt;0,'Chemical Properties'!G46,'Chemical Properties'!G9)*29*$F$11^(-1)</f>
        <v>9.1647433073909282E-2</v>
      </c>
      <c r="T52" s="105">
        <f>IF(ABS('Chemical Properties'!E46)&gt;0,'Chemical Properties'!E46,'Chemical Properties'!E9)/($F$5*($B$4+273.15))</f>
        <v>0.60870070957409095</v>
      </c>
      <c r="U52" s="105">
        <f t="shared" si="5"/>
        <v>3.6356544017854313E-5</v>
      </c>
      <c r="V52" s="105">
        <f t="shared" si="6"/>
        <v>4.5867200452389203E-6</v>
      </c>
      <c r="W52" s="105">
        <f t="shared" si="4"/>
        <v>3.6356544017854313E-5</v>
      </c>
    </row>
    <row r="53" spans="8:23">
      <c r="M53" s="62" t="s">
        <v>8</v>
      </c>
      <c r="N53" s="105">
        <f>$F$3/($F$4*IF(ABS('Chemical Properties'!F47)&gt;0,'Chemical Properties'!F47,'Chemical Properties'!F10))</f>
        <v>1144.8717948717949</v>
      </c>
      <c r="O53" s="105">
        <f>$F$6/($F$7*IF(ABS('Chemical Properties'!G47)&gt;0,'Chemical Properties'!G47,'Chemical Properties'!G10))</f>
        <v>2.0111111111111115</v>
      </c>
      <c r="P53" s="105">
        <f>IF($N$43&lt;3.25,0.00000278*(IF(ABS('Chemical Properties'!F47)&gt;0,'Chemical Properties'!F47,'Chemical Properties'!F10)/$F$14)^(2/3),IF($N$82&lt;14,IF($N$84&lt;0.3,0.000001+0.0144*$N$84^2.2*N53^(-0.5),0.000001+0.00341*$N$84*N53^(-0.5)),IF($N$82&lt;=51.2,(0.000000002605*$N$82+0.0000001277)*$N$43^2*(IF(ABS('Chemical Properties'!F47)&gt;0,'Chemical Properties'!F47,'Chemical Properties'!F10)/$F$14)^(2/3),0.000000261*$N$43^2*(IF(ABS('Chemical Properties'!F47)&gt;0,'Chemical Properties'!F47,'Chemical Properties'!F10)/$F$14)^(2/3))))</f>
        <v>4.8898112916105165E-6</v>
      </c>
      <c r="Q53" s="105">
        <f t="shared" si="3"/>
        <v>5.2815235828687357E-3</v>
      </c>
      <c r="R53" s="105">
        <f>IF($B$11=0,0,(8.22*10^(-9)*$F$10*$B$8*1.024^($B$4-20)*$F$9*10^6*18/($B$11*10.758*$F$4)))*(IF(ABS('Chemical Properties'!F47)&gt;0,'Chemical Properties'!F47,'Chemical Properties'!F10)/0.000024)^(0.5)</f>
        <v>3.8131496454055496E-5</v>
      </c>
      <c r="S53" s="105">
        <f>1.35*10^(-7)*$N$79^(1.42)*$N$78^(0.4)*$N$80^(-0.21)*IF(ABS('Chemical Properties'!G47)&gt;0,'Chemical Properties'!G47,'Chemical Properties'!G10)*29*$F$11^(-1)</f>
        <v>7.9925086983060417E-2</v>
      </c>
      <c r="T53" s="105">
        <f>IF(ABS('Chemical Properties'!E47)&gt;0,'Chemical Properties'!E47,'Chemical Properties'!E10)/($F$5*($B$4+273.15))</f>
        <v>0.32853161585231755</v>
      </c>
      <c r="U53" s="105">
        <f t="shared" si="5"/>
        <v>3.807620255816148E-5</v>
      </c>
      <c r="V53" s="105">
        <f t="shared" si="6"/>
        <v>4.8760700605285037E-6</v>
      </c>
      <c r="W53" s="105">
        <f t="shared" si="4"/>
        <v>3.807620255816148E-5</v>
      </c>
    </row>
    <row r="54" spans="8:23">
      <c r="M54" s="62" t="s">
        <v>11</v>
      </c>
      <c r="N54" s="105">
        <f>$F$3/($F$4*IF(ABS('Chemical Properties'!F48)&gt;0,'Chemical Properties'!F48,'Chemical Properties'!F11))</f>
        <v>1116.25</v>
      </c>
      <c r="O54" s="105">
        <f>$F$6/($F$7*IF(ABS('Chemical Properties'!G48)&gt;0,'Chemical Properties'!G48,'Chemical Properties'!G11))</f>
        <v>2.1244131455399065</v>
      </c>
      <c r="P54" s="105">
        <f>IF($N$43&lt;3.25,0.00000278*(IF(ABS('Chemical Properties'!F48)&gt;0,'Chemical Properties'!F48,'Chemical Properties'!F11)/$F$14)^(2/3),IF($N$82&lt;14,IF($N$84&lt;0.3,0.000001+0.0144*$N$84^2.2*N54^(-0.5),0.000001+0.00341*$N$84*N54^(-0.5)),IF($N$82&lt;=51.2,(0.000000002605*$N$82+0.0000001277)*$N$43^2*(IF(ABS('Chemical Properties'!F48)&gt;0,'Chemical Properties'!F48,'Chemical Properties'!F11)/$F$14)^(2/3),0.000000261*$N$43^2*(IF(ABS('Chemical Properties'!F48)&gt;0,'Chemical Properties'!F48,'Chemical Properties'!F11)/$F$14)^(2/3))))</f>
        <v>4.9730446129484847E-6</v>
      </c>
      <c r="Q54" s="105">
        <f t="shared" si="3"/>
        <v>5.0910958139449751E-3</v>
      </c>
      <c r="R54" s="105">
        <f>IF($B$11=0,0,(8.22*10^(-9)*$F$10*$B$8*1.024^($B$4-20)*$F$9*10^6*18/($B$11*10.758*$F$4)))*(IF(ABS('Chemical Properties'!F48)&gt;0,'Chemical Properties'!F48,'Chemical Properties'!F11)/0.000024)^(0.5)</f>
        <v>3.8617267584833231E-5</v>
      </c>
      <c r="S54" s="105">
        <f>1.35*10^(-7)*$N$79^(1.42)*$N$78^(0.4)*$N$80^(-0.21)*IF(ABS('Chemical Properties'!G48)&gt;0,'Chemical Properties'!G48,'Chemical Properties'!G11)*29*$F$11^(-1)</f>
        <v>7.5662415677297201E-2</v>
      </c>
      <c r="T54" s="105">
        <f>IF(ABS('Chemical Properties'!E48)&gt;0,'Chemical Properties'!E48,'Chemical Properties'!E11)/($F$5*($B$4+273.15))</f>
        <v>0.11465253091292807</v>
      </c>
      <c r="U54" s="105">
        <f t="shared" si="5"/>
        <v>3.8446120221786496E-5</v>
      </c>
      <c r="V54" s="105">
        <f t="shared" si="6"/>
        <v>4.9310333844372967E-6</v>
      </c>
      <c r="W54" s="105">
        <f t="shared" si="4"/>
        <v>3.8446120221786496E-5</v>
      </c>
    </row>
    <row r="55" spans="8:23">
      <c r="M55" s="63" t="s">
        <v>70</v>
      </c>
      <c r="N55" s="105">
        <f>$F$3/($F$4*IF(ABS('Chemical Properties'!F49)&gt;0,'Chemical Properties'!F49,'Chemical Properties'!F12))</f>
        <v>826.85185185185185</v>
      </c>
      <c r="O55" s="105">
        <f>$F$6/($F$7*IF(ABS('Chemical Properties'!G49)&gt;0,'Chemical Properties'!G49,'Chemical Properties'!G12))</f>
        <v>0.60575635876840694</v>
      </c>
      <c r="P55" s="105">
        <f>IF($N$43&lt;3.25,0.00000278*(IF(ABS('Chemical Properties'!F49)&gt;0,'Chemical Properties'!F49,'Chemical Properties'!F12)/$F$14)^(2/3),IF($N$82&lt;14,IF($N$84&lt;0.3,0.000001+0.0144*$N$84^2.2*N55^(-0.5),0.000001+0.00341*$N$84*N55^(-0.5)),IF($N$82&lt;=51.2,(0.000000002605*$N$82+0.0000001277)*$N$43^2*(IF(ABS('Chemical Properties'!F49)&gt;0,'Chemical Properties'!F49,'Chemical Properties'!F12)/$F$14)^(2/3),0.000000261*$N$43^2*(IF(ABS('Chemical Properties'!F49)&gt;0,'Chemical Properties'!F49,'Chemical Properties'!F12)/$F$14)^(2/3))))</f>
        <v>6.0745139574748947E-6</v>
      </c>
      <c r="Q55" s="105">
        <f t="shared" si="3"/>
        <v>1.1801079590619119E-2</v>
      </c>
      <c r="R55" s="105">
        <f>IF($B$11=0,0,(8.22*10^(-9)*$F$10*$B$8*1.024^($B$4-20)*$F$9*10^6*18/($B$11*10.758*$F$4)))*(IF(ABS('Chemical Properties'!F49)&gt;0,'Chemical Properties'!F49,'Chemical Properties'!F12)/0.000024)^(0.5)</f>
        <v>4.486921026962839E-5</v>
      </c>
      <c r="S55" s="105">
        <f>1.35*10^(-7)*$N$79^(1.42)*$N$78^(0.4)*$N$80^(-0.21)*IF(ABS('Chemical Properties'!G49)&gt;0,'Chemical Properties'!G49,'Chemical Properties'!G12)*29*$F$11^(-1)</f>
        <v>0.26535128878376063</v>
      </c>
      <c r="T55" s="105">
        <f>IF(ABS('Chemical Properties'!E49)&gt;0,'Chemical Properties'!E49,'Chemical Properties'!E12)/($F$5*($B$4+273.15))</f>
        <v>3.068518645524184</v>
      </c>
      <c r="U55" s="105">
        <f t="shared" si="5"/>
        <v>4.4866737845620831E-5</v>
      </c>
      <c r="V55" s="105">
        <f t="shared" si="6"/>
        <v>6.0734951321866387E-6</v>
      </c>
      <c r="W55" s="105">
        <f t="shared" si="4"/>
        <v>4.4866737845620831E-5</v>
      </c>
    </row>
    <row r="56" spans="8:23">
      <c r="M56" s="63" t="s">
        <v>16</v>
      </c>
      <c r="N56" s="105">
        <f>$F$3/($F$4*IF(ABS('Chemical Properties'!F50)&gt;0,'Chemical Properties'!F50,'Chemical Properties'!F13))</f>
        <v>633.33333333333337</v>
      </c>
      <c r="O56" s="105">
        <f>$F$6/($F$7*IF(ABS('Chemical Properties'!G50)&gt;0,'Chemical Properties'!G50,'Chemical Properties'!G13))</f>
        <v>0.98829984034316398</v>
      </c>
      <c r="P56" s="105">
        <f>IF($N$43&lt;3.25,0.00000278*(IF(ABS('Chemical Properties'!F50)&gt;0,'Chemical Properties'!F50,'Chemical Properties'!F13)/$F$14)^(2/3),IF($N$82&lt;14,IF($N$84&lt;0.3,0.000001+0.0144*$N$84^2.2*N56^(-0.5),0.000001+0.00341*$N$84*N56^(-0.5)),IF($N$82&lt;=51.2,(0.000000002605*$N$82+0.0000001277)*$N$43^2*(IF(ABS('Chemical Properties'!F50)&gt;0,'Chemical Properties'!F50,'Chemical Properties'!F13)/$F$14)^(2/3),0.000000261*$N$43^2*(IF(ABS('Chemical Properties'!F50)&gt;0,'Chemical Properties'!F50,'Chemical Properties'!F13)/$F$14)^(2/3))))</f>
        <v>7.2561865424200112E-6</v>
      </c>
      <c r="Q56" s="105">
        <f t="shared" si="3"/>
        <v>8.5013117279922595E-3</v>
      </c>
      <c r="R56" s="105">
        <f>IF($B$11=0,0,(8.22*10^(-9)*$F$10*$B$8*1.024^($B$4-20)*$F$9*10^6*18/($B$11*10.758*$F$4)))*(IF(ABS('Chemical Properties'!F50)&gt;0,'Chemical Properties'!F50,'Chemical Properties'!F13)/0.000024)^(0.5)</f>
        <v>5.1267967966889946E-5</v>
      </c>
      <c r="S56" s="105">
        <f>1.35*10^(-7)*$N$79^(1.42)*$N$78^(0.4)*$N$80^(-0.21)*IF(ABS('Chemical Properties'!G50)&gt;0,'Chemical Properties'!G50,'Chemical Properties'!G13)*29*$F$11^(-1)</f>
        <v>0.16264115800356932</v>
      </c>
      <c r="T56" s="105">
        <f>IF(ABS('Chemical Properties'!E50)&gt;0,'Chemical Properties'!E50,'Chemical Properties'!E13)/($F$5*($B$4+273.15))</f>
        <v>7.5046043414118901E-8</v>
      </c>
      <c r="U56" s="105">
        <f t="shared" si="5"/>
        <v>1.2202670264700454E-8</v>
      </c>
      <c r="V56" s="105">
        <f t="shared" si="6"/>
        <v>6.3793371960725404E-10</v>
      </c>
      <c r="W56" s="105">
        <f t="shared" si="4"/>
        <v>1.2202670264700455E-8</v>
      </c>
    </row>
    <row r="57" spans="8:23">
      <c r="M57" s="60" t="s">
        <v>71</v>
      </c>
      <c r="N57" s="105">
        <f>$F$3/($F$4*IF(ABS('Chemical Properties'!F51)&gt;0,'Chemical Properties'!F51,'Chemical Properties'!F14))</f>
        <v>1144.8717948717949</v>
      </c>
      <c r="O57" s="105">
        <f>$F$6/($F$7*IF(ABS('Chemical Properties'!G51)&gt;0,'Chemical Properties'!G51,'Chemical Properties'!G14))</f>
        <v>2.0111111111111115</v>
      </c>
      <c r="P57" s="105">
        <f>IF($N$43&lt;3.25,0.00000278*(IF(ABS('Chemical Properties'!F51)&gt;0,'Chemical Properties'!F51,'Chemical Properties'!F14)/$F$14)^(2/3),IF($N$82&lt;14,IF($N$84&lt;0.3,0.000001+0.0144*$N$84^2.2*N57^(-0.5),0.000001+0.00341*$N$84*N57^(-0.5)),IF($N$82&lt;=51.2,(0.000000002605*$N$82+0.0000001277)*$N$43^2*(IF(ABS('Chemical Properties'!F51)&gt;0,'Chemical Properties'!F51,'Chemical Properties'!F14)/$F$14)^(2/3),0.000000261*$N$43^2*(IF(ABS('Chemical Properties'!F51)&gt;0,'Chemical Properties'!F51,'Chemical Properties'!F14)/$F$14)^(2/3))))</f>
        <v>4.8898112916105165E-6</v>
      </c>
      <c r="Q57" s="105">
        <f t="shared" si="3"/>
        <v>5.2815235828687357E-3</v>
      </c>
      <c r="R57" s="105">
        <f>IF($B$11=0,0,(8.22*10^(-9)*$F$10*$B$8*1.024^($B$4-20)*$F$9*10^6*18/($B$11*10.758*$F$4)))*(IF(ABS('Chemical Properties'!F51)&gt;0,'Chemical Properties'!F51,'Chemical Properties'!F14)/0.000024)^(0.5)</f>
        <v>3.8131496454055496E-5</v>
      </c>
      <c r="S57" s="105">
        <f>1.35*10^(-7)*$N$79^(1.42)*$N$78^(0.4)*$N$80^(-0.21)*IF(ABS('Chemical Properties'!G51)&gt;0,'Chemical Properties'!G51,'Chemical Properties'!G14)*29*$F$11^(-1)</f>
        <v>7.9925086983060417E-2</v>
      </c>
      <c r="T57" s="105">
        <f>IF(ABS('Chemical Properties'!E51)&gt;0,'Chemical Properties'!E51,'Chemical Properties'!E14)/($F$5*($B$4+273.15))</f>
        <v>5.754812142411323E-3</v>
      </c>
      <c r="U57" s="105">
        <f t="shared" si="5"/>
        <v>3.5212295959783002E-5</v>
      </c>
      <c r="V57" s="105">
        <f t="shared" si="6"/>
        <v>4.2121595784021287E-6</v>
      </c>
      <c r="W57" s="105">
        <f t="shared" si="4"/>
        <v>3.5212295959783002E-5</v>
      </c>
    </row>
    <row r="58" spans="8:23">
      <c r="M58" s="62" t="s">
        <v>12</v>
      </c>
      <c r="N58" s="105">
        <f>$F$3/($F$4*IF(ABS('Chemical Properties'!F52)&gt;0,'Chemical Properties'!F52,'Chemical Properties'!F15))</f>
        <v>1038.3720930232557</v>
      </c>
      <c r="O58" s="105">
        <f>$F$6/($F$7*IF(ABS('Chemical Properties'!G52)&gt;0,'Chemical Properties'!G52,'Chemical Properties'!G15))</f>
        <v>1.7337164750957856</v>
      </c>
      <c r="P58" s="105">
        <f>IF($N$43&lt;3.25,0.00000278*(IF(ABS('Chemical Properties'!F52)&gt;0,'Chemical Properties'!F52,'Chemical Properties'!F15)/$F$14)^(2/3),IF($N$82&lt;14,IF($N$84&lt;0.3,0.000001+0.0144*$N$84^2.2*N58^(-0.5),0.000001+0.00341*$N$84*N58^(-0.5)),IF($N$82&lt;=51.2,(0.000000002605*$N$82+0.0000001277)*$N$43^2*(IF(ABS('Chemical Properties'!F52)&gt;0,'Chemical Properties'!F52,'Chemical Properties'!F15)/$F$14)^(2/3),0.000000261*$N$43^2*(IF(ABS('Chemical Properties'!F52)&gt;0,'Chemical Properties'!F52,'Chemical Properties'!F15)/$F$14)^(2/3))))</f>
        <v>5.2186879781082262E-6</v>
      </c>
      <c r="Q58" s="105">
        <f t="shared" si="3"/>
        <v>5.8337266568932187E-3</v>
      </c>
      <c r="R58" s="105">
        <f>IF($B$11=0,0,(8.22*10^(-9)*$F$10*$B$8*1.024^($B$4-20)*$F$9*10^6*18/($B$11*10.758*$F$4)))*(IF(ABS('Chemical Properties'!F52)&gt;0,'Chemical Properties'!F52,'Chemical Properties'!F15)/0.000024)^(0.5)</f>
        <v>4.0039235224932903E-5</v>
      </c>
      <c r="S58" s="105">
        <f>1.35*10^(-7)*$N$79^(1.42)*$N$78^(0.4)*$N$80^(-0.21)*IF(ABS('Chemical Properties'!G52)&gt;0,'Chemical Properties'!G52,'Chemical Properties'!G15)*29*$F$11^(-1)</f>
        <v>9.2713100900350079E-2</v>
      </c>
      <c r="T58" s="105">
        <f>IF(ABS('Chemical Properties'!E52)&gt;0,'Chemical Properties'!E52,'Chemical Properties'!E15)/($F$5*($B$4+273.15))</f>
        <v>0.2768337473679427</v>
      </c>
      <c r="U58" s="105">
        <f t="shared" si="5"/>
        <v>3.9976871157043677E-5</v>
      </c>
      <c r="V58" s="105">
        <f t="shared" si="6"/>
        <v>5.201878415198754E-6</v>
      </c>
      <c r="W58" s="105">
        <f t="shared" si="4"/>
        <v>3.9976871157043677E-5</v>
      </c>
    </row>
    <row r="59" spans="8:23">
      <c r="M59" s="62" t="s">
        <v>10</v>
      </c>
      <c r="N59" s="105">
        <f>$F$3/($F$4*IF(ABS('Chemical Properties'!F53)&gt;0,'Chemical Properties'!F53,'Chemical Properties'!F16))</f>
        <v>981.31868131868146</v>
      </c>
      <c r="O59" s="105">
        <f>$F$6/($F$7*IF(ABS('Chemical Properties'!G53)&gt;0,'Chemical Properties'!G53,'Chemical Properties'!G16))</f>
        <v>1.8394308943089432</v>
      </c>
      <c r="P59" s="105">
        <f>IF($N$43&lt;3.25,0.00000278*(IF(ABS('Chemical Properties'!F53)&gt;0,'Chemical Properties'!F53,'Chemical Properties'!F16)/$F$14)^(2/3),IF($N$82&lt;14,IF($N$84&lt;0.3,0.000001+0.0144*$N$84^2.2*N59^(-0.5),0.000001+0.00341*$N$84*N59^(-0.5)),IF($N$82&lt;=51.2,(0.000000002605*$N$82+0.0000001277)*$N$43^2*(IF(ABS('Chemical Properties'!F53)&gt;0,'Chemical Properties'!F53,'Chemical Properties'!F16)/$F$14)^(2/3),0.000000261*$N$43^2*(IF(ABS('Chemical Properties'!F53)&gt;0,'Chemical Properties'!F53,'Chemical Properties'!F16)/$F$14)^(2/3))))</f>
        <v>5.4190516724180518E-6</v>
      </c>
      <c r="Q59" s="105">
        <f t="shared" si="3"/>
        <v>5.6069083594429414E-3</v>
      </c>
      <c r="R59" s="105">
        <f>IF($B$11=0,0,(8.22*10^(-9)*$F$10*$B$8*1.024^($B$4-20)*$F$9*10^6*18/($B$11*10.758*$F$4)))*(IF(ABS('Chemical Properties'!F53)&gt;0,'Chemical Properties'!F53,'Chemical Properties'!F16)/0.000024)^(0.5)</f>
        <v>4.1186723493498742E-5</v>
      </c>
      <c r="S59" s="105">
        <f>1.35*10^(-7)*$N$79^(1.42)*$N$78^(0.4)*$N$80^(-0.21)*IF(ABS('Chemical Properties'!G53)&gt;0,'Chemical Properties'!G53,'Chemical Properties'!G16)*29*$F$11^(-1)</f>
        <v>8.7384761768146066E-2</v>
      </c>
      <c r="T59" s="105">
        <f>IF(ABS('Chemical Properties'!E53)&gt;0,'Chemical Properties'!E53,'Chemical Properties'!E16)/($F$5*($B$4+273.15))</f>
        <v>1.6551656280884527E-5</v>
      </c>
      <c r="U59" s="105">
        <f t="shared" si="5"/>
        <v>1.3972935010675816E-6</v>
      </c>
      <c r="V59" s="105">
        <f t="shared" si="6"/>
        <v>9.1241076787156401E-8</v>
      </c>
      <c r="W59" s="105">
        <f t="shared" si="4"/>
        <v>1.3972935010675816E-6</v>
      </c>
    </row>
    <row r="60" spans="8:23">
      <c r="M60" s="63" t="s">
        <v>72</v>
      </c>
      <c r="N60" s="105">
        <f>$F$3/($F$4*IF(ABS('Chemical Properties'!F54)&gt;0,'Chemical Properties'!F54,'Chemical Properties'!F17))</f>
        <v>1149.2921492921494</v>
      </c>
      <c r="O60" s="105">
        <f>$F$6/($F$7*IF(ABS('Chemical Properties'!G54)&gt;0,'Chemical Properties'!G54,'Chemical Properties'!G17))</f>
        <v>0.75416666666666676</v>
      </c>
      <c r="P60" s="105">
        <f>IF($N$43&lt;3.25,0.00000278*(IF(ABS('Chemical Properties'!F54)&gt;0,'Chemical Properties'!F54,'Chemical Properties'!F17)/$F$14)^(2/3),IF($N$82&lt;14,IF($N$84&lt;0.3,0.000001+0.0144*$N$84^2.2*N60^(-0.5),0.000001+0.00341*$N$84*N60^(-0.5)),IF($N$82&lt;=51.2,(0.000000002605*$N$82+0.0000001277)*$N$43^2*(IF(ABS('Chemical Properties'!F54)&gt;0,'Chemical Properties'!F54,'Chemical Properties'!F17)/$F$14)^(2/3),0.000000261*$N$43^2*(IF(ABS('Chemical Properties'!F54)&gt;0,'Chemical Properties'!F54,'Chemical Properties'!F17)/$F$14)^(2/3))))</f>
        <v>4.8772652630048998E-6</v>
      </c>
      <c r="Q60" s="105">
        <f t="shared" si="3"/>
        <v>1.0189626703710304E-2</v>
      </c>
      <c r="R60" s="105">
        <f>IF($B$11=0,0,(8.22*10^(-9)*$F$10*$B$8*1.024^($B$4-20)*$F$9*10^6*18/($B$11*10.758*$F$4)))*(IF(ABS('Chemical Properties'!F54)&gt;0,'Chemical Properties'!F54,'Chemical Properties'!F17)/0.000024)^(0.5)</f>
        <v>3.8058096007836515E-5</v>
      </c>
      <c r="S60" s="105">
        <f>1.35*10^(-7)*$N$79^(1.42)*$N$78^(0.4)*$N$80^(-0.21)*IF(ABS('Chemical Properties'!G54)&gt;0,'Chemical Properties'!G54,'Chemical Properties'!G17)*29*$F$11^(-1)</f>
        <v>0.21313356528816116</v>
      </c>
      <c r="T60" s="105">
        <f>IF(ABS('Chemical Properties'!E54)&gt;0,'Chemical Properties'!E54,'Chemical Properties'!E17)/($F$5*($B$4+273.15))</f>
        <v>5.0864031895917181</v>
      </c>
      <c r="U60" s="105">
        <f t="shared" si="5"/>
        <v>3.8056759977757703E-5</v>
      </c>
      <c r="V60" s="105">
        <f t="shared" si="6"/>
        <v>4.8768063368291112E-6</v>
      </c>
      <c r="W60" s="105">
        <f t="shared" si="4"/>
        <v>3.8056759977757703E-5</v>
      </c>
    </row>
    <row r="61" spans="8:23">
      <c r="M61" s="63" t="s">
        <v>73</v>
      </c>
      <c r="N61" s="105">
        <f>$F$3/($F$4*IF(ABS('Chemical Properties'!F55)&gt;0,'Chemical Properties'!F55,'Chemical Properties'!F18))</f>
        <v>960.21505376344078</v>
      </c>
      <c r="O61" s="105">
        <f>$F$6/($F$7*IF(ABS('Chemical Properties'!G55)&gt;0,'Chemical Properties'!G55,'Chemical Properties'!G18))</f>
        <v>2.1733909702209413</v>
      </c>
      <c r="P61" s="105">
        <f>IF($N$43&lt;3.25,0.00000278*(IF(ABS('Chemical Properties'!F55)&gt;0,'Chemical Properties'!F55,'Chemical Properties'!F18)/$F$14)^(2/3),IF($N$82&lt;14,IF($N$84&lt;0.3,0.000001+0.0144*$N$84^2.2*N61^(-0.5),0.000001+0.00341*$N$84*N61^(-0.5)),IF($N$82&lt;=51.2,(0.000000002605*$N$82+0.0000001277)*$N$43^2*(IF(ABS('Chemical Properties'!F55)&gt;0,'Chemical Properties'!F55,'Chemical Properties'!F18)/$F$14)^(2/3),0.000000261*$N$43^2*(IF(ABS('Chemical Properties'!F55)&gt;0,'Chemical Properties'!F55,'Chemical Properties'!F18)/$F$14)^(2/3))))</f>
        <v>5.4981636593977672E-6</v>
      </c>
      <c r="Q61" s="105">
        <f t="shared" si="3"/>
        <v>5.0139387236944151E-3</v>
      </c>
      <c r="R61" s="105">
        <f>IF($B$11=0,0,(8.22*10^(-9)*$F$10*$B$8*1.024^($B$4-20)*$F$9*10^6*18/($B$11*10.758*$F$4)))*(IF(ABS('Chemical Properties'!F55)&gt;0,'Chemical Properties'!F55,'Chemical Properties'!F18)/0.000024)^(0.5)</f>
        <v>4.1636864987927299E-5</v>
      </c>
      <c r="S61" s="105">
        <f>1.35*10^(-7)*$N$79^(1.42)*$N$78^(0.4)*$N$80^(-0.21)*IF(ABS('Chemical Properties'!G55)&gt;0,'Chemical Properties'!G55,'Chemical Properties'!G18)*29*$F$11^(-1)</f>
        <v>7.3957347154991915E-2</v>
      </c>
      <c r="T61" s="105">
        <f>IF(ABS('Chemical Properties'!E55)&gt;0,'Chemical Properties'!E55,'Chemical Properties'!E18)/($F$5*($B$4+273.15))</f>
        <v>6.7540763665070356E-5</v>
      </c>
      <c r="U61" s="105">
        <f t="shared" si="5"/>
        <v>4.4600657890120043E-6</v>
      </c>
      <c r="V61" s="105">
        <f t="shared" si="6"/>
        <v>3.1899742441228806E-7</v>
      </c>
      <c r="W61" s="105">
        <f t="shared" si="4"/>
        <v>4.4600657890120043E-6</v>
      </c>
    </row>
    <row r="62" spans="8:23">
      <c r="M62" s="64" t="s">
        <v>74</v>
      </c>
      <c r="N62" s="105">
        <f>$F$3/($F$4*IF(ABS('Chemical Properties'!F56)&gt;0,'Chemical Properties'!F56,'Chemical Properties'!F19))</f>
        <v>956.10278372591006</v>
      </c>
      <c r="O62" s="105">
        <f>$F$6/($F$7*IF(ABS('Chemical Properties'!G56)&gt;0,'Chemical Properties'!G56,'Chemical Properties'!G19))</f>
        <v>2.1125116713352012</v>
      </c>
      <c r="P62" s="105">
        <f>IF($N$43&lt;3.25,0.00000278*(IF(ABS('Chemical Properties'!F56)&gt;0,'Chemical Properties'!F56,'Chemical Properties'!F19)/$F$14)^(2/3),IF($N$82&lt;14,IF($N$84&lt;0.3,0.000001+0.0144*$N$84^2.2*N62^(-0.5),0.000001+0.00341*$N$84*N62^(-0.5)),IF($N$82&lt;=51.2,(0.000000002605*$N$82+0.0000001277)*$N$43^2*(IF(ABS('Chemical Properties'!F56)&gt;0,'Chemical Properties'!F56,'Chemical Properties'!F19)/$F$14)^(2/3),0.000000261*$N$43^2*(IF(ABS('Chemical Properties'!F56)&gt;0,'Chemical Properties'!F56,'Chemical Properties'!F19)/$F$14)^(2/3))))</f>
        <v>5.5139177234516929E-6</v>
      </c>
      <c r="Q62" s="105">
        <f t="shared" si="3"/>
        <v>5.1102950886973064E-3</v>
      </c>
      <c r="R62" s="105">
        <f>IF($B$11=0,0,(8.22*10^(-9)*$F$10*$B$8*1.024^($B$4-20)*$F$9*10^6*18/($B$11*10.758*$F$4)))*(IF(ABS('Chemical Properties'!F56)&gt;0,'Chemical Properties'!F56,'Chemical Properties'!F19)/0.000024)^(0.5)</f>
        <v>4.1726310558225478E-5</v>
      </c>
      <c r="S62" s="105">
        <f>1.35*10^(-7)*$N$79^(1.42)*$N$78^(0.4)*$N$80^(-0.21)*IF(ABS('Chemical Properties'!G56)&gt;0,'Chemical Properties'!G56,'Chemical Properties'!G19)*29*$F$11^(-1)</f>
        <v>7.6088682807873537E-2</v>
      </c>
      <c r="T62" s="105">
        <f>IF(ABS('Chemical Properties'!E56)&gt;0,'Chemical Properties'!E56,'Chemical Properties'!E19)/($F$5*($B$4+273.15))</f>
        <v>0.2518702909176635</v>
      </c>
      <c r="U62" s="105">
        <f t="shared" si="5"/>
        <v>4.1635658344830457E-5</v>
      </c>
      <c r="V62" s="105">
        <f t="shared" si="6"/>
        <v>5.4903975159815803E-6</v>
      </c>
      <c r="W62" s="105">
        <f t="shared" si="4"/>
        <v>4.1635658344830457E-5</v>
      </c>
    </row>
    <row r="63" spans="8:23">
      <c r="M63" s="63" t="s">
        <v>75</v>
      </c>
      <c r="N63" s="105">
        <f>$F$3/($F$4*IF(ABS('Chemical Properties'!F57)&gt;0,'Chemical Properties'!F57,'Chemical Properties'!F20))</f>
        <v>850.4761904761906</v>
      </c>
      <c r="O63" s="105">
        <f>$F$6/($F$7*IF(ABS('Chemical Properties'!G57)&gt;0,'Chemical Properties'!G57,'Chemical Properties'!G20))</f>
        <v>1.4729817708333335</v>
      </c>
      <c r="P63" s="105">
        <f>IF($N$43&lt;3.25,0.00000278*(IF(ABS('Chemical Properties'!F57)&gt;0,'Chemical Properties'!F57,'Chemical Properties'!F20)/$F$14)^(2/3),IF($N$82&lt;14,IF($N$84&lt;0.3,0.000001+0.0144*$N$84^2.2*N63^(-0.5),0.000001+0.00341*$N$84*N63^(-0.5)),IF($N$82&lt;=51.2,(0.000000002605*$N$82+0.0000001277)*$N$43^2*(IF(ABS('Chemical Properties'!F57)&gt;0,'Chemical Properties'!F57,'Chemical Properties'!F20)/$F$14)^(2/3),0.000000261*$N$43^2*(IF(ABS('Chemical Properties'!F57)&gt;0,'Chemical Properties'!F57,'Chemical Properties'!F20)/$F$14)^(2/3))))</f>
        <v>5.9614956309216854E-6</v>
      </c>
      <c r="Q63" s="105">
        <f t="shared" si="3"/>
        <v>6.5068253174949192E-3</v>
      </c>
      <c r="R63" s="105">
        <f>IF($B$11=0,0,(8.22*10^(-9)*$F$10*$B$8*1.024^($B$4-20)*$F$9*10^6*18/($B$11*10.758*$F$4)))*(IF(ABS('Chemical Properties'!F57)&gt;0,'Chemical Properties'!F57,'Chemical Properties'!F20)/0.000024)^(0.5)</f>
        <v>4.4241637959965697E-5</v>
      </c>
      <c r="S63" s="105">
        <f>1.35*10^(-7)*$N$79^(1.42)*$N$78^(0.4)*$N$80^(-0.21)*IF(ABS('Chemical Properties'!G57)&gt;0,'Chemical Properties'!G57,'Chemical Properties'!G20)*29*$F$11^(-1)</f>
        <v>0.1091243854275385</v>
      </c>
      <c r="T63" s="105">
        <f>IF(ABS('Chemical Properties'!E57)&gt;0,'Chemical Properties'!E57,'Chemical Properties'!E20)/($F$5*($B$4+273.15))</f>
        <v>2.3144197654292605E-2</v>
      </c>
      <c r="U63" s="105">
        <f t="shared" si="5"/>
        <v>4.3479985847195214E-5</v>
      </c>
      <c r="V63" s="105">
        <f t="shared" si="6"/>
        <v>5.734488932931743E-6</v>
      </c>
      <c r="W63" s="105">
        <f t="shared" si="4"/>
        <v>4.3479985847195214E-5</v>
      </c>
    </row>
    <row r="64" spans="8:23">
      <c r="M64" s="64" t="s">
        <v>78</v>
      </c>
      <c r="N64" s="105">
        <f>$F$3/($F$4*IF(ABS('Chemical Properties'!F58)&gt;0,'Chemical Properties'!F58,'Chemical Properties'!F21))</f>
        <v>1089.0243902439026</v>
      </c>
      <c r="O64" s="105">
        <f>$F$6/($F$7*IF(ABS('Chemical Properties'!G58)&gt;0,'Chemical Properties'!G58,'Chemical Properties'!G21))</f>
        <v>3.7334983498349841</v>
      </c>
      <c r="P64" s="105">
        <f>IF($N$43&lt;3.25,0.00000278*(IF(ABS('Chemical Properties'!F58)&gt;0,'Chemical Properties'!F58,'Chemical Properties'!F21)/$F$14)^(2/3),IF($N$82&lt;14,IF($N$84&lt;0.3,0.000001+0.0144*$N$84^2.2*N64^(-0.5),0.000001+0.00341*$N$84*N64^(-0.5)),IF($N$82&lt;=51.2,(0.000000002605*$N$82+0.0000001277)*$N$43^2*(IF(ABS('Chemical Properties'!F58)&gt;0,'Chemical Properties'!F58,'Chemical Properties'!F21)/$F$14)^(2/3),0.000000261*$N$43^2*(IF(ABS('Chemical Properties'!F58)&gt;0,'Chemical Properties'!F58,'Chemical Properties'!F21)/$F$14)^(2/3))))</f>
        <v>5.0555871216929887E-6</v>
      </c>
      <c r="Q64" s="105">
        <f t="shared" si="3"/>
        <v>3.4893432336811623E-3</v>
      </c>
      <c r="R64" s="105">
        <f>IF($B$11=0,0,(8.22*10^(-9)*$F$10*$B$8*1.024^($B$4-20)*$F$9*10^6*18/($B$11*10.758*$F$4)))*(IF(ABS('Chemical Properties'!F58)&gt;0,'Chemical Properties'!F58,'Chemical Properties'!F21)/0.000024)^(0.5)</f>
        <v>3.9097003588658513E-5</v>
      </c>
      <c r="S64" s="105">
        <f>1.35*10^(-7)*$N$79^(1.42)*$N$78^(0.4)*$N$80^(-0.21)*IF(ABS('Chemical Properties'!G58)&gt;0,'Chemical Properties'!G58,'Chemical Properties'!G21)*29*$F$11^(-1)</f>
        <v>4.3052980188208544E-2</v>
      </c>
      <c r="T64" s="105">
        <f>IF(ABS('Chemical Properties'!E58)&gt;0,'Chemical Properties'!E58,'Chemical Properties'!E21)/($F$5*($B$4+273.15))</f>
        <v>1.1673712238407222E-2</v>
      </c>
      <c r="U64" s="105">
        <f t="shared" si="5"/>
        <v>3.6275113758898237E-5</v>
      </c>
      <c r="V64" s="105">
        <f t="shared" si="6"/>
        <v>4.497399283095876E-6</v>
      </c>
      <c r="W64" s="105">
        <f t="shared" si="4"/>
        <v>3.6275113758898237E-5</v>
      </c>
    </row>
    <row r="65" spans="13:23">
      <c r="M65" s="65" t="s">
        <v>14</v>
      </c>
      <c r="N65" s="105">
        <f>$F$3/($F$4*IF(ABS('Chemical Properties'!F59)&gt;0,'Chemical Properties'!F59,'Chemical Properties'!F22))</f>
        <v>686.92307692307702</v>
      </c>
      <c r="O65" s="105">
        <f>$F$6/($F$7*IF(ABS('Chemical Properties'!G59)&gt;0,'Chemical Properties'!G59,'Chemical Properties'!G22))</f>
        <v>0.93279736136878999</v>
      </c>
      <c r="P65" s="105">
        <f>IF($N$43&lt;3.25,0.00000278*(IF(ABS('Chemical Properties'!F59)&gt;0,'Chemical Properties'!F59,'Chemical Properties'!F22)/$F$14)^(2/3),IF($N$82&lt;14,IF($N$84&lt;0.3,0.000001+0.0144*$N$84^2.2*N65^(-0.5),0.000001+0.00341*$N$84*N65^(-0.5)),IF($N$82&lt;=51.2,(0.000000002605*$N$82+0.0000001277)*$N$43^2*(IF(ABS('Chemical Properties'!F59)&gt;0,'Chemical Properties'!F59,'Chemical Properties'!F22)/$F$14)^(2/3),0.000000261*$N$43^2*(IF(ABS('Chemical Properties'!F59)&gt;0,'Chemical Properties'!F59,'Chemical Properties'!F22)/$F$14)^(2/3))))</f>
        <v>6.8737109508427445E-6</v>
      </c>
      <c r="Q65" s="105">
        <f t="shared" si="3"/>
        <v>8.836980368276898E-3</v>
      </c>
      <c r="R65" s="105">
        <f>IF($B$11=0,0,(8.22*10^(-9)*$F$10*$B$8*1.024^($B$4-20)*$F$9*10^6*18/($B$11*10.758*$F$4)))*(IF(ABS('Chemical Properties'!F59)&gt;0,'Chemical Properties'!F59,'Chemical Properties'!F22)/0.000024)^(0.5)</f>
        <v>4.9227550244174695E-5</v>
      </c>
      <c r="S65" s="105">
        <f>1.35*10^(-7)*$N$79^(1.42)*$N$78^(0.4)*$N$80^(-0.21)*IF(ABS('Chemical Properties'!G59)&gt;0,'Chemical Properties'!G59,'Chemical Properties'!G22)*29*$F$11^(-1)</f>
        <v>0.17231848753547829</v>
      </c>
      <c r="T65" s="105">
        <f>IF(ABS('Chemical Properties'!E59)&gt;0,'Chemical Properties'!E59,'Chemical Properties'!E22)/($F$5*($B$4+273.15))</f>
        <v>2.0512380076058405</v>
      </c>
      <c r="U65" s="105">
        <f t="shared" si="5"/>
        <v>4.9220695235025542E-5</v>
      </c>
      <c r="V65" s="105">
        <f t="shared" si="6"/>
        <v>6.8711054097231787E-6</v>
      </c>
      <c r="W65" s="105">
        <f t="shared" si="4"/>
        <v>4.9220695235025535E-5</v>
      </c>
    </row>
    <row r="66" spans="13:23">
      <c r="M66" s="65" t="s">
        <v>79</v>
      </c>
      <c r="N66" s="105">
        <f>$F$3/($F$4*IF(ABS('Chemical Properties'!F60)&gt;0,'Chemical Properties'!F60,'Chemical Properties'!F23))</f>
        <v>902.02020202020208</v>
      </c>
      <c r="O66" s="105">
        <f>$F$6/($F$7*IF(ABS('Chemical Properties'!G60)&gt;0,'Chemical Properties'!G60,'Chemical Properties'!G23))</f>
        <v>1.4503205128205132</v>
      </c>
      <c r="P66" s="105">
        <f>IF($N$43&lt;3.25,0.00000278*(IF(ABS('Chemical Properties'!F60)&gt;0,'Chemical Properties'!F60,'Chemical Properties'!F23)/$F$14)^(2/3),IF($N$82&lt;14,IF($N$84&lt;0.3,0.000001+0.0144*$N$84^2.2*N66^(-0.5),0.000001+0.00341*$N$84*N66^(-0.5)),IF($N$82&lt;=51.2,(0.000000002605*$N$82+0.0000001277)*$N$43^2*(IF(ABS('Chemical Properties'!F60)&gt;0,'Chemical Properties'!F60,'Chemical Properties'!F23)/$F$14)^(2/3),0.000000261*$N$43^2*(IF(ABS('Chemical Properties'!F60)&gt;0,'Chemical Properties'!F60,'Chemical Properties'!F23)/$F$14)^(2/3))))</f>
        <v>5.7321712999414484E-6</v>
      </c>
      <c r="Q66" s="105">
        <f t="shared" si="3"/>
        <v>6.5747692330334695E-3</v>
      </c>
      <c r="R66" s="105">
        <f>IF($B$11=0,0,(8.22*10^(-9)*$F$10*$B$8*1.024^($B$4-20)*$F$9*10^6*18/($B$11*10.758*$F$4)))*(IF(ABS('Chemical Properties'!F60)&gt;0,'Chemical Properties'!F60,'Chemical Properties'!F23)/0.000024)^(0.5)</f>
        <v>4.2958998215761295E-5</v>
      </c>
      <c r="S66" s="105">
        <f>1.35*10^(-7)*$N$79^(1.42)*$N$78^(0.4)*$N$80^(-0.21)*IF(ABS('Chemical Properties'!G60)&gt;0,'Chemical Properties'!G60,'Chemical Properties'!G23)*29*$F$11^(-1)</f>
        <v>0.11082945394984378</v>
      </c>
      <c r="T66" s="105">
        <f>IF(ABS('Chemical Properties'!E60)&gt;0,'Chemical Properties'!E60,'Chemical Properties'!E23)/($F$5*($B$4+273.15))</f>
        <v>5.8368561192036116E-2</v>
      </c>
      <c r="U66" s="105">
        <f t="shared" si="5"/>
        <v>4.2675598387158367E-5</v>
      </c>
      <c r="V66" s="105">
        <f t="shared" si="6"/>
        <v>5.6478106750239857E-6</v>
      </c>
      <c r="W66" s="105">
        <f t="shared" si="4"/>
        <v>4.2675598387158367E-5</v>
      </c>
    </row>
    <row r="67" spans="13:23">
      <c r="M67" s="65" t="s">
        <v>15</v>
      </c>
      <c r="N67" s="105">
        <f>$F$3/($F$4*IF(ABS('Chemical Properties'!F61)&gt;0,'Chemical Properties'!F61,'Chemical Properties'!F24))</f>
        <v>911.22448979591843</v>
      </c>
      <c r="O67" s="105">
        <f>$F$6/($F$7*IF(ABS('Chemical Properties'!G61)&gt;0,'Chemical Properties'!G61,'Chemical Properties'!G24))</f>
        <v>2.1425189393939394</v>
      </c>
      <c r="P67" s="105">
        <f>IF($N$43&lt;3.25,0.00000278*(IF(ABS('Chemical Properties'!F61)&gt;0,'Chemical Properties'!F61,'Chemical Properties'!F24)/$F$14)^(2/3),IF($N$82&lt;14,IF($N$84&lt;0.3,0.000001+0.0144*$N$84^2.2*N67^(-0.5),0.000001+0.00341*$N$84*N67^(-0.5)),IF($N$82&lt;=51.2,(0.000000002605*$N$82+0.0000001277)*$N$43^2*(IF(ABS('Chemical Properties'!F61)&gt;0,'Chemical Properties'!F61,'Chemical Properties'!F24)/$F$14)^(2/3),0.000000261*$N$43^2*(IF(ABS('Chemical Properties'!F61)&gt;0,'Chemical Properties'!F61,'Chemical Properties'!F24)/$F$14)^(2/3))))</f>
        <v>5.6935055423682253E-6</v>
      </c>
      <c r="Q67" s="105">
        <f t="shared" si="3"/>
        <v>5.0622298280284727E-3</v>
      </c>
      <c r="R67" s="105">
        <f>IF($B$11=0,0,(8.22*10^(-9)*$F$10*$B$8*1.024^($B$4-20)*$F$9*10^6*18/($B$11*10.758*$F$4)))*(IF(ABS('Chemical Properties'!F61)&gt;0,'Chemical Properties'!F61,'Chemical Properties'!F24)/0.000024)^(0.5)</f>
        <v>4.274148290309192E-5</v>
      </c>
      <c r="S67" s="105">
        <f>1.35*10^(-7)*$N$79^(1.42)*$N$78^(0.4)*$N$80^(-0.21)*IF(ABS('Chemical Properties'!G61)&gt;0,'Chemical Properties'!G61,'Chemical Properties'!G24)*29*$F$11^(-1)</f>
        <v>7.5023014981432712E-2</v>
      </c>
      <c r="T67" s="105">
        <f>IF(ABS('Chemical Properties'!E61)&gt;0,'Chemical Properties'!E61,'Chemical Properties'!E24)/($F$5*($B$4+273.15))</f>
        <v>1.6134737986655697E-9</v>
      </c>
      <c r="U67" s="105">
        <f t="shared" si="5"/>
        <v>1.2104732615267666E-10</v>
      </c>
      <c r="V67" s="105">
        <f t="shared" si="6"/>
        <v>8.1677634730572015E-12</v>
      </c>
      <c r="W67" s="105">
        <f t="shared" si="4"/>
        <v>1.2104732615267666E-10</v>
      </c>
    </row>
    <row r="68" spans="13:23">
      <c r="M68" s="65" t="s">
        <v>80</v>
      </c>
      <c r="N68" s="105">
        <f>$F$3/($F$4*IF(ABS('Chemical Properties'!F62)&gt;0,'Chemical Properties'!F62,'Chemical Properties'!F25))</f>
        <v>1355.0834597875571</v>
      </c>
      <c r="O68" s="105">
        <f>$F$6/($F$7*IF(ABS('Chemical Properties'!G62)&gt;0,'Chemical Properties'!G62,'Chemical Properties'!G25))</f>
        <v>2.0577535243292409</v>
      </c>
      <c r="P68" s="105">
        <f>IF($N$43&lt;3.25,0.00000278*(IF(ABS('Chemical Properties'!F62)&gt;0,'Chemical Properties'!F62,'Chemical Properties'!F25)/$F$14)^(2/3),IF($N$82&lt;14,IF($N$84&lt;0.3,0.000001+0.0144*$N$84^2.2*N68^(-0.5),0.000001+0.00341*$N$84*N68^(-0.5)),IF($N$82&lt;=51.2,(0.000000002605*$N$82+0.0000001277)*$N$43^2*(IF(ABS('Chemical Properties'!F62)&gt;0,'Chemical Properties'!F62,'Chemical Properties'!F25)/$F$14)^(2/3),0.000000261*$N$43^2*(IF(ABS('Chemical Properties'!F62)&gt;0,'Chemical Properties'!F62,'Chemical Properties'!F25)/$F$14)^(2/3))))</f>
        <v>4.3700456500211139E-6</v>
      </c>
      <c r="Q68" s="105">
        <f t="shared" si="3"/>
        <v>5.2010118091584531E-3</v>
      </c>
      <c r="R68" s="105">
        <f>IF($B$11=0,0,(8.22*10^(-9)*$F$10*$B$8*1.024^($B$4-20)*$F$9*10^6*18/($B$11*10.758*$F$4)))*(IF(ABS('Chemical Properties'!F62)&gt;0,'Chemical Properties'!F62,'Chemical Properties'!F25)/0.000024)^(0.5)</f>
        <v>3.5049292457526244E-5</v>
      </c>
      <c r="S68" s="105">
        <f>1.35*10^(-7)*$N$79^(1.42)*$N$78^(0.4)*$N$80^(-0.21)*IF(ABS('Chemical Properties'!G62)&gt;0,'Chemical Properties'!G62,'Chemical Properties'!G25)*29*$F$11^(-1)</f>
        <v>7.8113451678111054E-2</v>
      </c>
      <c r="T68" s="105">
        <f>IF(ABS('Chemical Properties'!E62)&gt;0,'Chemical Properties'!E62,'Chemical Properties'!E25)/($F$5*($B$4+273.15))</f>
        <v>126.32624315133529</v>
      </c>
      <c r="U68" s="105">
        <f t="shared" si="5"/>
        <v>3.5049167966640084E-5</v>
      </c>
      <c r="V68" s="105">
        <f t="shared" si="6"/>
        <v>4.3700165838625669E-6</v>
      </c>
      <c r="W68" s="105">
        <f t="shared" si="4"/>
        <v>3.5049167966640084E-5</v>
      </c>
    </row>
    <row r="69" spans="13:23">
      <c r="M69" s="65" t="s">
        <v>59</v>
      </c>
      <c r="N69" s="105" t="e">
        <f>$F$3/($F$4*IF(ABS('Chemical Properties'!F63)&gt;0,'Chemical Properties'!F63,'Chemical Properties'!F26))</f>
        <v>#DIV/0!</v>
      </c>
      <c r="O69" s="105" t="e">
        <f>$F$6/($F$7*IF(ABS('Chemical Properties'!G63)&gt;0,'Chemical Properties'!G63,'Chemical Properties'!G26))</f>
        <v>#DIV/0!</v>
      </c>
      <c r="P69" s="105">
        <f>IF($N$43&lt;3.25,0.00000278*(IF(ABS('Chemical Properties'!F63)&gt;0,'Chemical Properties'!F63,'Chemical Properties'!F26)/$F$14)^(2/3),IF($N$82&lt;14,IF($N$84&lt;0.3,0.000001+0.0144*$N$84^2.2*N69^(-0.5),0.000001+0.00341*$N$84*N69^(-0.5)),IF($N$82&lt;=51.2,(0.000000002605*$N$82+0.0000001277)*$N$43^2*(IF(ABS('Chemical Properties'!F63)&gt;0,'Chemical Properties'!F63,'Chemical Properties'!F26)/$F$14)^(2/3),0.000000261*$N$43^2*(IF(ABS('Chemical Properties'!F63)&gt;0,'Chemical Properties'!F63,'Chemical Properties'!F26)/$F$14)^(2/3))))</f>
        <v>0</v>
      </c>
      <c r="Q69" s="105" t="e">
        <f t="shared" si="3"/>
        <v>#DIV/0!</v>
      </c>
      <c r="R69" s="105">
        <f>IF($B$11=0,0,(8.22*10^(-9)*$F$10*$B$8*1.024^($B$4-20)*$F$9*10^6*18/($B$11*10.758*$F$4)))*(IF(ABS('Chemical Properties'!F63)&gt;0,'Chemical Properties'!F63,'Chemical Properties'!F26)/0.000024)^(0.5)</f>
        <v>0</v>
      </c>
      <c r="S69" s="105">
        <f>1.35*10^(-7)*$N$79^(1.42)*$N$78^(0.4)*$N$80^(-0.21)*IF(ABS('Chemical Properties'!G63)&gt;0,'Chemical Properties'!G63,'Chemical Properties'!G26)*29*$F$11^(-1)</f>
        <v>0</v>
      </c>
      <c r="T69" s="105">
        <f>IF(ABS('Chemical Properties'!E63)&gt;0,'Chemical Properties'!E63,'Chemical Properties'!E26)/($F$5*($B$4+273.15))</f>
        <v>0</v>
      </c>
      <c r="U69" s="105" t="e">
        <f>(R69*T69*S69)/(T69*S69+R69)</f>
        <v>#DIV/0!</v>
      </c>
      <c r="V69" s="105" t="e">
        <f>(P69*T69*Q69)/(T69*Q69+P69)</f>
        <v>#DIV/0!</v>
      </c>
      <c r="W69" s="105" t="e">
        <f>(U69*$B$11+V69*$F$8)/$B$3</f>
        <v>#DIV/0!</v>
      </c>
    </row>
    <row r="70" spans="13:23">
      <c r="M70" s="81" t="s">
        <v>60</v>
      </c>
      <c r="N70" s="105" t="e">
        <f>$F$3/($F$4*IF(ABS('Chemical Properties'!F64)&gt;0,'Chemical Properties'!F64,'Chemical Properties'!F27))</f>
        <v>#DIV/0!</v>
      </c>
      <c r="O70" s="105" t="e">
        <f>$F$6/($F$7*IF(ABS('Chemical Properties'!G64)&gt;0,'Chemical Properties'!G64,'Chemical Properties'!G27))</f>
        <v>#DIV/0!</v>
      </c>
      <c r="P70" s="105">
        <f>IF($N$43&lt;3.25,0.00000278*(IF(ABS('Chemical Properties'!F64)&gt;0,'Chemical Properties'!F64,'Chemical Properties'!F27)/$F$14)^(2/3),IF($N$82&lt;14,IF($N$84&lt;0.3,0.000001+0.0144*$N$84^2.2*N70^(-0.5),0.000001+0.00341*$N$84*N70^(-0.5)),IF($N$82&lt;=51.2,(0.000000002605*$N$82+0.0000001277)*$N$43^2*(IF(ABS('Chemical Properties'!F64)&gt;0,'Chemical Properties'!F64,'Chemical Properties'!F27)/$F$14)^(2/3),0.000000261*$N$43^2*(IF(ABS('Chemical Properties'!F64)&gt;0,'Chemical Properties'!F64,'Chemical Properties'!F27)/$F$14)^(2/3))))</f>
        <v>0</v>
      </c>
      <c r="Q70" s="105" t="e">
        <f t="shared" si="3"/>
        <v>#DIV/0!</v>
      </c>
      <c r="R70" s="105">
        <f>IF($B$11=0,0,(8.22*10^(-9)*$F$10*$B$8*1.024^($B$4-20)*$F$9*10^6*18/($B$11*10.758*$F$4)))*(IF(ABS('Chemical Properties'!F64)&gt;0,'Chemical Properties'!F64,'Chemical Properties'!F27)/0.000024)^(0.5)</f>
        <v>0</v>
      </c>
      <c r="S70" s="105">
        <f>1.35*10^(-7)*$N$79^(1.42)*$N$78^(0.4)*$N$80^(-0.21)*IF(ABS('Chemical Properties'!G64)&gt;0,'Chemical Properties'!G64,'Chemical Properties'!G27)*29*$F$11^(-1)</f>
        <v>0</v>
      </c>
      <c r="T70" s="105">
        <f>IF(ABS('Chemical Properties'!E64)&gt;0,'Chemical Properties'!E64,'Chemical Properties'!E27)/($F$5*($B$4+273.15))</f>
        <v>0</v>
      </c>
      <c r="U70" s="105" t="e">
        <f>(R70*T70*S70)/(T70*S70+R70)</f>
        <v>#DIV/0!</v>
      </c>
      <c r="V70" s="105" t="e">
        <f>(P70*T70*Q70)/(T70*Q70+P70)</f>
        <v>#DIV/0!</v>
      </c>
      <c r="W70" s="105" t="e">
        <f>(U70*$B$11+V70*$F$8)/$B$3</f>
        <v>#DIV/0!</v>
      </c>
    </row>
    <row r="71" spans="13:23">
      <c r="M71" s="65" t="s">
        <v>61</v>
      </c>
      <c r="N71" s="105" t="e">
        <f>$F$3/($F$4*IF(ABS('Chemical Properties'!F65)&gt;0,'Chemical Properties'!F65,'Chemical Properties'!F28))</f>
        <v>#DIV/0!</v>
      </c>
      <c r="O71" s="105" t="e">
        <f>$F$6/($F$7*IF(ABS('Chemical Properties'!G65)&gt;0,'Chemical Properties'!G65,'Chemical Properties'!G28))</f>
        <v>#DIV/0!</v>
      </c>
      <c r="P71" s="105">
        <f>IF($N$43&lt;3.25,0.00000278*(IF(ABS('Chemical Properties'!F65)&gt;0,'Chemical Properties'!F65,'Chemical Properties'!F28)/$F$14)^(2/3),IF($N$82&lt;14,IF($N$84&lt;0.3,0.000001+0.0144*$N$84^2.2*N71^(-0.5),0.000001+0.00341*$N$84*N71^(-0.5)),IF($N$82&lt;=51.2,(0.000000002605*$N$82+0.0000001277)*$N$43^2*(IF(ABS('Chemical Properties'!F65)&gt;0,'Chemical Properties'!F65,'Chemical Properties'!F28)/$F$14)^(2/3),0.000000261*$N$43^2*(IF(ABS('Chemical Properties'!F65)&gt;0,'Chemical Properties'!F65,'Chemical Properties'!F28)/$F$14)^(2/3))))</f>
        <v>0</v>
      </c>
      <c r="Q71" s="105" t="e">
        <f t="shared" si="3"/>
        <v>#DIV/0!</v>
      </c>
      <c r="R71" s="105">
        <f>IF($B$11=0,0,(8.22*10^(-9)*$F$10*$B$8*1.024^($B$4-20)*$F$9*10^6*18/($B$11*10.758*$F$4)))*(IF(ABS('Chemical Properties'!F65)&gt;0,'Chemical Properties'!F65,'Chemical Properties'!F28)/0.000024)^(0.5)</f>
        <v>0</v>
      </c>
      <c r="S71" s="105">
        <f>1.35*10^(-7)*$N$79^(1.42)*$N$78^(0.4)*$N$80^(-0.21)*IF(ABS('Chemical Properties'!G65)&gt;0,'Chemical Properties'!G65,'Chemical Properties'!G28)*29*$F$11^(-1)</f>
        <v>0</v>
      </c>
      <c r="T71" s="105">
        <f>IF(ABS('Chemical Properties'!E65)&gt;0,'Chemical Properties'!E65,'Chemical Properties'!E28)/($F$5*($B$4+273.15))</f>
        <v>0</v>
      </c>
      <c r="U71" s="105" t="e">
        <f>(R71*T71*S71)/(T71*S71+R71)</f>
        <v>#DIV/0!</v>
      </c>
      <c r="V71" s="105" t="e">
        <f>(P71*T71*Q71)/(T71*Q71+P71)</f>
        <v>#DIV/0!</v>
      </c>
      <c r="W71" s="105" t="e">
        <f>(U71*$B$11+V71*$F$8)/$B$3</f>
        <v>#DIV/0!</v>
      </c>
    </row>
    <row r="72" spans="13:23">
      <c r="M72" s="65" t="s">
        <v>256</v>
      </c>
      <c r="N72" s="105">
        <f>$F$3/($F$4*IF(ABS('Chemical Properties'!F66)&gt;0,'Chemical Properties'!F66,'Chemical Properties'!F29))</f>
        <v>866.990291262136</v>
      </c>
      <c r="O72" s="105">
        <f>$F$6/($F$7*IF(ABS('Chemical Properties'!G66)&gt;0,'Chemical Properties'!G66,'Chemical Properties'!G29))</f>
        <v>1.5204973118279572</v>
      </c>
      <c r="P72" s="105">
        <f>IF($N$43&lt;3.25,0.00000278*(IF(ABS('Chemical Properties'!F66)&gt;0,'Chemical Properties'!F66,'Chemical Properties'!F29)/$F$14)^(2/3),IF($N$82&lt;14,IF($N$84&lt;0.3,0.000001+0.0144*$N$84^2.2*N72^(-0.5),0.000001+0.00341*$N$84*N72^(-0.5)),IF($N$82&lt;=51.2,(0.000000002605*$N$82+0.0000001277)*$N$43^2*(IF(ABS('Chemical Properties'!F66)&gt;0,'Chemical Properties'!F66,'Chemical Properties'!F29)/$F$14)^(2/3),0.000000261*$N$43^2*(IF(ABS('Chemical Properties'!F66)&gt;0,'Chemical Properties'!F66,'Chemical Properties'!F29)/$F$14)^(2/3))))</f>
        <v>5.8855517194061878E-6</v>
      </c>
      <c r="Q72" s="105">
        <f t="shared" si="3"/>
        <v>6.3698762790895406E-3</v>
      </c>
      <c r="R72" s="105">
        <f>IF($B$11=0,0,(8.22*10^(-9)*$F$10*$B$8*1.024^($B$4-20)*$F$9*10^6*18/($B$11*10.758*$F$4)))*(IF(ABS('Chemical Properties'!F66)&gt;0,'Chemical Properties'!F66,'Chemical Properties'!F29)/0.000024)^(0.5)</f>
        <v>4.3818263264165465E-5</v>
      </c>
      <c r="S72" s="105">
        <f>1.35*10^(-7)*$N$79^(1.42)*$N$78^(0.4)*$N$80^(-0.21)*IF(ABS('Chemical Properties'!G66)&gt;0,'Chemical Properties'!G66,'Chemical Properties'!G29)*29*$F$11^(-1)</f>
        <v>0.10571424838292791</v>
      </c>
      <c r="T72" s="105">
        <f>IF(ABS('Chemical Properties'!E66)&gt;0,'Chemical Properties'!E66,'Chemical Properties'!E29)/($F$5*($B$4+273.15))</f>
        <v>39.607237951738789</v>
      </c>
      <c r="U72" s="105">
        <f>(R72*T72*S72)/(T72*S72+R72)</f>
        <v>4.3817804702557279E-5</v>
      </c>
      <c r="V72" s="105">
        <f>(P72*T72*Q72)/(T72*Q72+P72)</f>
        <v>5.8854144231563436E-6</v>
      </c>
      <c r="W72" s="105">
        <f>(U72*$B$11+V72*$F$8)/$B$3</f>
        <v>4.3817804702557279E-5</v>
      </c>
    </row>
    <row r="74" spans="13:23">
      <c r="M74" s="91"/>
      <c r="N74" s="107"/>
      <c r="O74" s="107"/>
      <c r="P74" s="107"/>
      <c r="Q74" s="107"/>
      <c r="R74" s="107"/>
      <c r="S74" s="107"/>
      <c r="T74" s="107"/>
      <c r="U74" s="107"/>
      <c r="V74" s="107"/>
      <c r="W74" s="107"/>
    </row>
    <row r="75" spans="13:23">
      <c r="N75" s="106"/>
      <c r="O75" s="107"/>
      <c r="P75" s="107"/>
      <c r="Q75" s="107"/>
      <c r="R75" s="107"/>
      <c r="S75" s="107"/>
      <c r="T75" s="107"/>
      <c r="U75" s="107"/>
      <c r="V75" s="107"/>
      <c r="W75" s="107"/>
    </row>
    <row r="76" spans="13:23">
      <c r="N76" s="106"/>
      <c r="O76" s="107"/>
      <c r="P76" s="107"/>
      <c r="Q76" s="107"/>
      <c r="R76" s="107"/>
      <c r="S76" s="107"/>
      <c r="T76" s="107"/>
      <c r="U76" s="107"/>
      <c r="V76" s="107"/>
      <c r="W76" s="107"/>
    </row>
    <row r="77" spans="13:23">
      <c r="M77" s="55"/>
      <c r="N77" s="107"/>
      <c r="O77" s="107"/>
      <c r="P77" s="107"/>
      <c r="Q77" s="107"/>
      <c r="R77" s="107"/>
      <c r="S77" s="107"/>
      <c r="T77" s="107"/>
      <c r="U77" s="107"/>
      <c r="V77" s="107"/>
      <c r="W77" s="107"/>
    </row>
    <row r="78" spans="13:23">
      <c r="M78" s="71" t="s">
        <v>39</v>
      </c>
      <c r="N78" s="105">
        <f>(((0.85*550*B8/B9)*32.17)/((62.428*F4)*F13^(3)*(F11/30.48)^(5)))</f>
        <v>3.7511744125580328E-4</v>
      </c>
      <c r="O78" s="107"/>
      <c r="P78" s="107"/>
      <c r="Q78" s="107"/>
      <c r="R78" s="107"/>
      <c r="S78" s="107"/>
      <c r="T78" s="107"/>
      <c r="U78" s="107"/>
      <c r="V78" s="107"/>
      <c r="W78" s="107"/>
    </row>
    <row r="79" spans="13:23">
      <c r="M79" s="71" t="s">
        <v>40</v>
      </c>
      <c r="N79" s="105">
        <f>(F11^(2)*F13*F7/F6)</f>
        <v>3108371.2707182318</v>
      </c>
      <c r="O79" s="107"/>
      <c r="P79" s="107"/>
      <c r="Q79" s="107"/>
      <c r="R79" s="107"/>
      <c r="S79" s="107"/>
      <c r="T79" s="107"/>
      <c r="U79" s="107"/>
      <c r="V79" s="107"/>
      <c r="W79" s="107"/>
    </row>
    <row r="80" spans="13:23">
      <c r="M80" s="71" t="s">
        <v>41</v>
      </c>
      <c r="N80" s="105">
        <f>F12*F13^(2)/32.17</f>
        <v>987.4013304320797</v>
      </c>
      <c r="O80" s="107"/>
      <c r="P80" s="107"/>
      <c r="Q80" s="107"/>
      <c r="R80" s="107"/>
      <c r="S80" s="107"/>
      <c r="T80" s="107"/>
      <c r="U80" s="107"/>
      <c r="V80" s="107"/>
      <c r="W80" s="107"/>
    </row>
    <row r="81" spans="13:23" ht="15.75">
      <c r="M81" s="71" t="s">
        <v>133</v>
      </c>
      <c r="N81" s="105">
        <f>B11*10.758</f>
        <v>537900</v>
      </c>
      <c r="O81" s="107"/>
      <c r="P81" s="107"/>
      <c r="Q81" s="107"/>
      <c r="R81" s="107"/>
      <c r="S81" s="107"/>
      <c r="T81" s="107"/>
      <c r="U81" s="107"/>
      <c r="V81" s="107"/>
      <c r="W81" s="106"/>
    </row>
    <row r="82" spans="13:23">
      <c r="M82" s="71" t="s">
        <v>54</v>
      </c>
      <c r="N82" s="105">
        <f>2*($B$3/PI())^0.5/$B$7</f>
        <v>50.462650440403202</v>
      </c>
      <c r="O82" s="107"/>
      <c r="P82" s="107"/>
      <c r="Q82" s="107"/>
      <c r="R82" s="107"/>
      <c r="S82" s="107"/>
      <c r="T82" s="107"/>
      <c r="U82" s="107"/>
      <c r="V82" s="107"/>
      <c r="W82" s="106"/>
    </row>
    <row r="83" spans="13:23">
      <c r="M83" s="71" t="s">
        <v>55</v>
      </c>
      <c r="N83" s="105">
        <f>2*(B3/3.14)^(0.5)</f>
        <v>252.37723256253437</v>
      </c>
      <c r="O83" s="106"/>
      <c r="P83" s="106"/>
      <c r="Q83" s="106"/>
      <c r="R83" s="106"/>
      <c r="S83" s="106"/>
      <c r="T83" s="106"/>
      <c r="U83" s="106"/>
      <c r="V83" s="106"/>
      <c r="W83" s="106"/>
    </row>
    <row r="84" spans="13:23">
      <c r="M84" s="71" t="s">
        <v>87</v>
      </c>
      <c r="N84" s="105">
        <f>0.01*$N$43*(6.1+0.63*$N$43)^0.5</f>
        <v>0.13347348144481735</v>
      </c>
    </row>
    <row r="89" spans="13:23">
      <c r="M89" s="292" t="s">
        <v>159</v>
      </c>
      <c r="N89" s="292"/>
      <c r="O89" s="292"/>
      <c r="P89" s="292"/>
      <c r="Q89" s="292"/>
      <c r="R89" s="292"/>
      <c r="S89" s="135"/>
      <c r="T89" s="135"/>
    </row>
    <row r="90" spans="13:23" ht="38.25">
      <c r="M90" s="128" t="s">
        <v>153</v>
      </c>
      <c r="N90" s="129" t="s">
        <v>155</v>
      </c>
      <c r="O90" s="129" t="s">
        <v>156</v>
      </c>
      <c r="P90" s="129" t="s">
        <v>157</v>
      </c>
      <c r="Q90" s="129" t="s">
        <v>158</v>
      </c>
      <c r="R90" s="129" t="s">
        <v>154</v>
      </c>
      <c r="S90" s="88"/>
      <c r="T90" s="132"/>
    </row>
    <row r="91" spans="13:23">
      <c r="M91" s="60" t="s">
        <v>17</v>
      </c>
      <c r="N91" s="72">
        <f>$B$6*B15</f>
        <v>8.8410000000000002E-2</v>
      </c>
      <c r="O91" s="127">
        <f>M3*$B$6</f>
        <v>7.3215805412265057E-3</v>
      </c>
      <c r="P91" s="127">
        <f>K3</f>
        <v>8.10884194587735E-2</v>
      </c>
      <c r="Q91" s="130">
        <f t="shared" ref="Q91:Q112" si="7">O91/N91*100</f>
        <v>8.2813941196996996</v>
      </c>
      <c r="R91" s="130">
        <f t="shared" ref="R91:R112" si="8">P91/N91*100</f>
        <v>91.718605880300302</v>
      </c>
      <c r="S91" s="88"/>
      <c r="T91" s="133"/>
    </row>
    <row r="92" spans="13:23">
      <c r="M92" s="62" t="s">
        <v>6</v>
      </c>
      <c r="N92" s="72">
        <f t="shared" ref="N92:N112" si="9">$B$6*B16</f>
        <v>8.8410000000000002E-2</v>
      </c>
      <c r="O92" s="127">
        <f t="shared" ref="O92:O112" si="10">M4*$B$6</f>
        <v>3.5187999920650221E-3</v>
      </c>
      <c r="P92" s="127">
        <f t="shared" ref="P92:P112" si="11">K4</f>
        <v>8.4891200007934972E-2</v>
      </c>
      <c r="Q92" s="130">
        <f t="shared" si="7"/>
        <v>3.980092740713745</v>
      </c>
      <c r="R92" s="130">
        <f t="shared" si="8"/>
        <v>96.019907259286242</v>
      </c>
      <c r="S92" s="88"/>
      <c r="T92" s="133"/>
    </row>
    <row r="93" spans="13:23">
      <c r="M93" s="62" t="s">
        <v>13</v>
      </c>
      <c r="N93" s="72">
        <f t="shared" si="9"/>
        <v>8.8410000000000002E-2</v>
      </c>
      <c r="O93" s="127">
        <f t="shared" si="10"/>
        <v>3.4793147041575984E-3</v>
      </c>
      <c r="P93" s="127">
        <f t="shared" si="11"/>
        <v>8.4930685295842384E-2</v>
      </c>
      <c r="Q93" s="130">
        <f t="shared" si="7"/>
        <v>3.9354311776468704</v>
      </c>
      <c r="R93" s="130">
        <f t="shared" si="8"/>
        <v>96.064568822353095</v>
      </c>
      <c r="S93" s="88"/>
      <c r="T93" s="133"/>
    </row>
    <row r="94" spans="13:23">
      <c r="M94" s="60" t="s">
        <v>69</v>
      </c>
      <c r="N94" s="72">
        <f t="shared" si="9"/>
        <v>8.8410000000000002E-2</v>
      </c>
      <c r="O94" s="127">
        <f t="shared" si="10"/>
        <v>4.2245001697280493E-3</v>
      </c>
      <c r="P94" s="127">
        <f t="shared" si="11"/>
        <v>8.4185499830271945E-2</v>
      </c>
      <c r="Q94" s="130">
        <f t="shared" si="7"/>
        <v>4.7783058135143639</v>
      </c>
      <c r="R94" s="130">
        <f t="shared" si="8"/>
        <v>95.221694186485621</v>
      </c>
      <c r="S94" s="88"/>
      <c r="T94" s="133"/>
    </row>
    <row r="95" spans="13:23">
      <c r="M95" s="62" t="s">
        <v>9</v>
      </c>
      <c r="N95" s="72">
        <f t="shared" si="9"/>
        <v>8.8410000000000002E-2</v>
      </c>
      <c r="O95" s="127">
        <f t="shared" si="10"/>
        <v>4.1044979540792084E-3</v>
      </c>
      <c r="P95" s="127">
        <f t="shared" si="11"/>
        <v>8.4305502045920785E-2</v>
      </c>
      <c r="Q95" s="130">
        <f t="shared" si="7"/>
        <v>4.6425720552869674</v>
      </c>
      <c r="R95" s="130">
        <f t="shared" si="8"/>
        <v>95.357427944713024</v>
      </c>
      <c r="S95" s="88"/>
      <c r="T95" s="133"/>
    </row>
    <row r="96" spans="13:23">
      <c r="M96" s="63" t="s">
        <v>7</v>
      </c>
      <c r="N96" s="72">
        <f t="shared" si="9"/>
        <v>8.8410000000000002E-2</v>
      </c>
      <c r="O96" s="127">
        <f t="shared" si="10"/>
        <v>4.1003963705773406E-3</v>
      </c>
      <c r="P96" s="127">
        <f t="shared" si="11"/>
        <v>8.430960362942265E-2</v>
      </c>
      <c r="Q96" s="130">
        <f t="shared" si="7"/>
        <v>4.6379327797504137</v>
      </c>
      <c r="R96" s="130">
        <f t="shared" si="8"/>
        <v>95.362067220249571</v>
      </c>
      <c r="S96" s="88"/>
      <c r="T96" s="133"/>
    </row>
    <row r="97" spans="13:20">
      <c r="M97" s="62" t="s">
        <v>8</v>
      </c>
      <c r="N97" s="72">
        <f t="shared" si="9"/>
        <v>8.8410000000000002E-2</v>
      </c>
      <c r="O97" s="127">
        <f t="shared" si="10"/>
        <v>3.9234259259329522E-3</v>
      </c>
      <c r="P97" s="127">
        <f t="shared" si="11"/>
        <v>8.4486574074067053E-2</v>
      </c>
      <c r="Q97" s="130">
        <f t="shared" si="7"/>
        <v>4.4377626127507659</v>
      </c>
      <c r="R97" s="130">
        <f t="shared" si="8"/>
        <v>95.56223738724924</v>
      </c>
      <c r="S97" s="88"/>
      <c r="T97" s="133"/>
    </row>
    <row r="98" spans="13:20">
      <c r="M98" s="62" t="s">
        <v>11</v>
      </c>
      <c r="N98" s="72">
        <f t="shared" si="9"/>
        <v>8.8410000000000002E-2</v>
      </c>
      <c r="O98" s="127">
        <f t="shared" si="10"/>
        <v>3.8873356838519568E-3</v>
      </c>
      <c r="P98" s="127">
        <f t="shared" si="11"/>
        <v>8.4522664316148036E-2</v>
      </c>
      <c r="Q98" s="130">
        <f t="shared" si="7"/>
        <v>4.3969411648591299</v>
      </c>
      <c r="R98" s="130">
        <f t="shared" si="8"/>
        <v>95.603058835140871</v>
      </c>
      <c r="S98" s="88"/>
      <c r="T98" s="133"/>
    </row>
    <row r="99" spans="13:20">
      <c r="M99" s="63" t="s">
        <v>70</v>
      </c>
      <c r="N99" s="72">
        <f t="shared" si="9"/>
        <v>8.8410000000000002E-2</v>
      </c>
      <c r="O99" s="127">
        <f t="shared" si="10"/>
        <v>3.3521340270142451E-3</v>
      </c>
      <c r="P99" s="127">
        <f t="shared" si="11"/>
        <v>8.5057865972985744E-2</v>
      </c>
      <c r="Q99" s="130">
        <f t="shared" si="7"/>
        <v>3.7915779063615487</v>
      </c>
      <c r="R99" s="130">
        <f t="shared" si="8"/>
        <v>96.208422093638433</v>
      </c>
      <c r="S99" s="88"/>
      <c r="T99" s="133"/>
    </row>
    <row r="100" spans="13:20">
      <c r="M100" s="63" t="s">
        <v>16</v>
      </c>
      <c r="N100" s="72">
        <f t="shared" si="9"/>
        <v>0</v>
      </c>
      <c r="O100" s="127">
        <f t="shared" si="10"/>
        <v>0</v>
      </c>
      <c r="P100" s="127">
        <f t="shared" si="11"/>
        <v>0</v>
      </c>
      <c r="Q100" s="130" t="e">
        <f t="shared" si="7"/>
        <v>#DIV/0!</v>
      </c>
      <c r="R100" s="130" t="e">
        <f t="shared" si="8"/>
        <v>#DIV/0!</v>
      </c>
      <c r="S100" s="88"/>
      <c r="T100" s="133"/>
    </row>
    <row r="101" spans="13:20">
      <c r="M101" s="60" t="s">
        <v>71</v>
      </c>
      <c r="N101" s="72">
        <f t="shared" si="9"/>
        <v>0</v>
      </c>
      <c r="O101" s="127">
        <f t="shared" si="10"/>
        <v>0</v>
      </c>
      <c r="P101" s="127">
        <f t="shared" si="11"/>
        <v>0</v>
      </c>
      <c r="Q101" s="130" t="e">
        <f t="shared" si="7"/>
        <v>#DIV/0!</v>
      </c>
      <c r="R101" s="130" t="e">
        <f t="shared" si="8"/>
        <v>#DIV/0!</v>
      </c>
      <c r="S101" s="88"/>
      <c r="T101" s="133"/>
    </row>
    <row r="102" spans="13:20">
      <c r="M102" s="62" t="s">
        <v>12</v>
      </c>
      <c r="N102" s="72">
        <f t="shared" si="9"/>
        <v>0</v>
      </c>
      <c r="O102" s="127">
        <f t="shared" si="10"/>
        <v>0</v>
      </c>
      <c r="P102" s="127">
        <f t="shared" si="11"/>
        <v>0</v>
      </c>
      <c r="Q102" s="130" t="e">
        <f t="shared" si="7"/>
        <v>#DIV/0!</v>
      </c>
      <c r="R102" s="130" t="e">
        <f t="shared" si="8"/>
        <v>#DIV/0!</v>
      </c>
      <c r="S102" s="88"/>
      <c r="T102" s="133"/>
    </row>
    <row r="103" spans="13:20">
      <c r="M103" s="62" t="s">
        <v>10</v>
      </c>
      <c r="N103" s="72">
        <f t="shared" si="9"/>
        <v>0</v>
      </c>
      <c r="O103" s="127">
        <f t="shared" si="10"/>
        <v>0</v>
      </c>
      <c r="P103" s="127">
        <f t="shared" si="11"/>
        <v>0</v>
      </c>
      <c r="Q103" s="130" t="e">
        <f t="shared" si="7"/>
        <v>#DIV/0!</v>
      </c>
      <c r="R103" s="130" t="e">
        <f t="shared" si="8"/>
        <v>#DIV/0!</v>
      </c>
      <c r="S103" s="88"/>
      <c r="T103" s="133"/>
    </row>
    <row r="104" spans="13:20">
      <c r="M104" s="63" t="s">
        <v>72</v>
      </c>
      <c r="N104" s="72">
        <f t="shared" si="9"/>
        <v>0</v>
      </c>
      <c r="O104" s="127">
        <f t="shared" si="10"/>
        <v>0</v>
      </c>
      <c r="P104" s="127">
        <f t="shared" si="11"/>
        <v>0</v>
      </c>
      <c r="Q104" s="130" t="e">
        <f t="shared" si="7"/>
        <v>#DIV/0!</v>
      </c>
      <c r="R104" s="130" t="e">
        <f t="shared" si="8"/>
        <v>#DIV/0!</v>
      </c>
      <c r="S104" s="88"/>
      <c r="T104" s="133"/>
    </row>
    <row r="105" spans="13:20">
      <c r="M105" s="63" t="s">
        <v>73</v>
      </c>
      <c r="N105" s="72">
        <f t="shared" si="9"/>
        <v>0</v>
      </c>
      <c r="O105" s="127">
        <f t="shared" si="10"/>
        <v>0</v>
      </c>
      <c r="P105" s="127">
        <f t="shared" si="11"/>
        <v>0</v>
      </c>
      <c r="Q105" s="130" t="e">
        <f t="shared" si="7"/>
        <v>#DIV/0!</v>
      </c>
      <c r="R105" s="130" t="e">
        <f t="shared" si="8"/>
        <v>#DIV/0!</v>
      </c>
      <c r="S105" s="88"/>
      <c r="T105" s="133"/>
    </row>
    <row r="106" spans="13:20">
      <c r="M106" s="64" t="s">
        <v>74</v>
      </c>
      <c r="N106" s="72">
        <f t="shared" si="9"/>
        <v>0</v>
      </c>
      <c r="O106" s="127">
        <f t="shared" si="10"/>
        <v>0</v>
      </c>
      <c r="P106" s="127">
        <f t="shared" si="11"/>
        <v>0</v>
      </c>
      <c r="Q106" s="130" t="e">
        <f t="shared" si="7"/>
        <v>#DIV/0!</v>
      </c>
      <c r="R106" s="130" t="e">
        <f t="shared" si="8"/>
        <v>#DIV/0!</v>
      </c>
      <c r="S106" s="88"/>
      <c r="T106" s="133"/>
    </row>
    <row r="107" spans="13:20">
      <c r="M107" s="63" t="s">
        <v>75</v>
      </c>
      <c r="N107" s="72">
        <f t="shared" si="9"/>
        <v>0</v>
      </c>
      <c r="O107" s="127">
        <f t="shared" si="10"/>
        <v>0</v>
      </c>
      <c r="P107" s="127">
        <f t="shared" si="11"/>
        <v>0</v>
      </c>
      <c r="Q107" s="130" t="e">
        <f t="shared" si="7"/>
        <v>#DIV/0!</v>
      </c>
      <c r="R107" s="130" t="e">
        <f t="shared" si="8"/>
        <v>#DIV/0!</v>
      </c>
      <c r="S107" s="88"/>
      <c r="T107" s="133"/>
    </row>
    <row r="108" spans="13:20">
      <c r="M108" s="64" t="s">
        <v>78</v>
      </c>
      <c r="N108" s="72">
        <f t="shared" si="9"/>
        <v>0</v>
      </c>
      <c r="O108" s="127">
        <f t="shared" si="10"/>
        <v>0</v>
      </c>
      <c r="P108" s="127">
        <f t="shared" si="11"/>
        <v>0</v>
      </c>
      <c r="Q108" s="130" t="e">
        <f t="shared" si="7"/>
        <v>#DIV/0!</v>
      </c>
      <c r="R108" s="130" t="e">
        <f t="shared" si="8"/>
        <v>#DIV/0!</v>
      </c>
      <c r="S108" s="88"/>
      <c r="T108" s="133"/>
    </row>
    <row r="109" spans="13:20">
      <c r="M109" s="65" t="s">
        <v>14</v>
      </c>
      <c r="N109" s="72">
        <f t="shared" si="9"/>
        <v>0</v>
      </c>
      <c r="O109" s="127">
        <f t="shared" si="10"/>
        <v>0</v>
      </c>
      <c r="P109" s="127">
        <f t="shared" si="11"/>
        <v>0</v>
      </c>
      <c r="Q109" s="130" t="e">
        <f t="shared" si="7"/>
        <v>#DIV/0!</v>
      </c>
      <c r="R109" s="130" t="e">
        <f t="shared" si="8"/>
        <v>#DIV/0!</v>
      </c>
      <c r="S109" s="88"/>
      <c r="T109" s="133"/>
    </row>
    <row r="110" spans="13:20">
      <c r="M110" s="65" t="s">
        <v>79</v>
      </c>
      <c r="N110" s="72">
        <f t="shared" si="9"/>
        <v>0</v>
      </c>
      <c r="O110" s="127">
        <f t="shared" si="10"/>
        <v>0</v>
      </c>
      <c r="P110" s="127">
        <f t="shared" si="11"/>
        <v>0</v>
      </c>
      <c r="Q110" s="130" t="e">
        <f t="shared" si="7"/>
        <v>#DIV/0!</v>
      </c>
      <c r="R110" s="130" t="e">
        <f t="shared" si="8"/>
        <v>#DIV/0!</v>
      </c>
      <c r="S110" s="88"/>
      <c r="T110" s="133"/>
    </row>
    <row r="111" spans="13:20">
      <c r="M111" s="65" t="s">
        <v>15</v>
      </c>
      <c r="N111" s="72">
        <f t="shared" si="9"/>
        <v>0</v>
      </c>
      <c r="O111" s="127">
        <f t="shared" si="10"/>
        <v>0</v>
      </c>
      <c r="P111" s="127">
        <f t="shared" si="11"/>
        <v>0</v>
      </c>
      <c r="Q111" s="130" t="e">
        <f t="shared" si="7"/>
        <v>#DIV/0!</v>
      </c>
      <c r="R111" s="130" t="e">
        <f t="shared" si="8"/>
        <v>#DIV/0!</v>
      </c>
      <c r="S111" s="88"/>
      <c r="T111" s="133"/>
    </row>
    <row r="112" spans="13:20">
      <c r="M112" s="65" t="s">
        <v>80</v>
      </c>
      <c r="N112" s="72">
        <f t="shared" si="9"/>
        <v>0</v>
      </c>
      <c r="O112" s="127">
        <f t="shared" si="10"/>
        <v>0</v>
      </c>
      <c r="P112" s="127">
        <f t="shared" si="11"/>
        <v>0</v>
      </c>
      <c r="Q112" s="130" t="e">
        <f t="shared" si="7"/>
        <v>#DIV/0!</v>
      </c>
      <c r="R112" s="130" t="e">
        <f t="shared" si="8"/>
        <v>#DIV/0!</v>
      </c>
      <c r="S112" s="88"/>
      <c r="T112" s="133"/>
    </row>
    <row r="113" spans="13:20">
      <c r="M113" s="65" t="s">
        <v>59</v>
      </c>
      <c r="N113" s="72">
        <f>$B$6*B37</f>
        <v>0</v>
      </c>
      <c r="O113" s="127" t="e">
        <f>M25*$B$6</f>
        <v>#DIV/0!</v>
      </c>
      <c r="P113" s="127" t="e">
        <f>K25</f>
        <v>#DIV/0!</v>
      </c>
      <c r="Q113" s="130" t="e">
        <f>O113/N113*100</f>
        <v>#DIV/0!</v>
      </c>
      <c r="R113" s="130" t="e">
        <f>P113/N113*100</f>
        <v>#DIV/0!</v>
      </c>
      <c r="S113" s="88"/>
      <c r="T113" s="133"/>
    </row>
    <row r="114" spans="13:20">
      <c r="M114" s="81" t="s">
        <v>60</v>
      </c>
      <c r="N114" s="72">
        <f>$B$6*B38</f>
        <v>0</v>
      </c>
      <c r="O114" s="127" t="e">
        <f>M26*$B$6</f>
        <v>#DIV/0!</v>
      </c>
      <c r="P114" s="127" t="e">
        <f>K26</f>
        <v>#DIV/0!</v>
      </c>
      <c r="Q114" s="130" t="e">
        <f>O114/N114*100</f>
        <v>#DIV/0!</v>
      </c>
      <c r="R114" s="130" t="e">
        <f>P114/N114*100</f>
        <v>#DIV/0!</v>
      </c>
      <c r="S114" s="88"/>
      <c r="T114" s="133"/>
    </row>
    <row r="115" spans="13:20">
      <c r="M115" s="65" t="s">
        <v>61</v>
      </c>
      <c r="N115" s="72">
        <f>$B$6*B39</f>
        <v>0</v>
      </c>
      <c r="O115" s="127" t="e">
        <f>M27*$B$6</f>
        <v>#DIV/0!</v>
      </c>
      <c r="P115" s="127" t="e">
        <f>K27</f>
        <v>#DIV/0!</v>
      </c>
      <c r="Q115" s="130" t="e">
        <f>O115/N115*100</f>
        <v>#DIV/0!</v>
      </c>
      <c r="R115" s="130" t="e">
        <f>P115/N115*100</f>
        <v>#DIV/0!</v>
      </c>
      <c r="S115" s="88"/>
      <c r="T115" s="133"/>
    </row>
    <row r="116" spans="13:20">
      <c r="M116" s="65" t="s">
        <v>256</v>
      </c>
      <c r="N116" s="72">
        <f>$B$6*B40</f>
        <v>0</v>
      </c>
      <c r="O116" s="127">
        <f>M28*$B$6</f>
        <v>0</v>
      </c>
      <c r="P116" s="127">
        <f>K28</f>
        <v>0</v>
      </c>
      <c r="Q116" s="130" t="e">
        <f>O116/N116*100</f>
        <v>#DIV/0!</v>
      </c>
      <c r="R116" s="130" t="e">
        <f>P116/N116*100</f>
        <v>#DIV/0!</v>
      </c>
      <c r="S116" s="88"/>
      <c r="T116" s="133"/>
    </row>
    <row r="117" spans="13:20">
      <c r="S117" s="88"/>
      <c r="T117" s="133"/>
    </row>
    <row r="118" spans="13:20">
      <c r="M118" s="91"/>
      <c r="N118" s="223"/>
      <c r="O118" s="255"/>
      <c r="P118" s="255"/>
      <c r="Q118" s="256"/>
      <c r="R118" s="256"/>
      <c r="S118" s="88"/>
      <c r="T118" s="133"/>
    </row>
    <row r="119" spans="13:20">
      <c r="S119" s="88"/>
      <c r="T119" s="88"/>
    </row>
  </sheetData>
  <mergeCells count="4">
    <mergeCell ref="A14:C14"/>
    <mergeCell ref="I46:K46"/>
    <mergeCell ref="A1:E1"/>
    <mergeCell ref="M89:R89"/>
  </mergeCells>
  <phoneticPr fontId="5" type="noConversion"/>
  <pageMargins left="0.75" right="0.75" top="1" bottom="1" header="0.5" footer="0.5"/>
  <pageSetup scale="24" orientation="portrait" r:id="rId1"/>
  <headerFooter alignWithMargins="0"/>
</worksheet>
</file>

<file path=xl/worksheets/sheet8.xml><?xml version="1.0" encoding="utf-8"?>
<worksheet xmlns="http://schemas.openxmlformats.org/spreadsheetml/2006/main" xmlns:r="http://schemas.openxmlformats.org/officeDocument/2006/relationships">
  <sheetPr>
    <tabColor rgb="FF002060"/>
    <pageSetUpPr fitToPage="1"/>
  </sheetPr>
  <dimension ref="A1:AB116"/>
  <sheetViews>
    <sheetView zoomScaleNormal="100" workbookViewId="0">
      <selection activeCell="B3" sqref="B3"/>
    </sheetView>
  </sheetViews>
  <sheetFormatPr defaultRowHeight="12.75"/>
  <cols>
    <col min="1" max="1" width="59.42578125" style="57" customWidth="1"/>
    <col min="2" max="2" width="10" style="57" bestFit="1" customWidth="1"/>
    <col min="3" max="3" width="9.140625" style="57"/>
    <col min="4" max="4" width="2.42578125" style="57" customWidth="1"/>
    <col min="5" max="5" width="67.42578125" style="57" customWidth="1"/>
    <col min="6" max="6" width="10" style="57" bestFit="1" customWidth="1"/>
    <col min="7" max="7" width="13.42578125" style="57" customWidth="1"/>
    <col min="8" max="8" width="17" style="57" customWidth="1"/>
    <col min="9" max="9" width="4" style="57" customWidth="1"/>
    <col min="10" max="10" width="31.42578125" style="57" customWidth="1"/>
    <col min="11" max="11" width="23" style="57" bestFit="1" customWidth="1"/>
    <col min="12" max="12" width="9.140625" style="57"/>
    <col min="13" max="13" width="35.140625" style="57" customWidth="1"/>
    <col min="14" max="14" width="12.42578125" style="57" bestFit="1" customWidth="1"/>
    <col min="15" max="15" width="10" style="57" bestFit="1" customWidth="1"/>
    <col min="16" max="16" width="12.5703125" style="57" bestFit="1" customWidth="1"/>
    <col min="17" max="17" width="12.42578125" style="57" bestFit="1" customWidth="1"/>
    <col min="18" max="18" width="14.140625" style="57" customWidth="1"/>
    <col min="19" max="19" width="11.42578125" style="57" customWidth="1"/>
    <col min="20" max="20" width="10" style="57" bestFit="1" customWidth="1"/>
    <col min="21" max="22" width="12.42578125" style="57" bestFit="1" customWidth="1"/>
    <col min="23" max="23" width="13" style="57" customWidth="1"/>
    <col min="24" max="24" width="11.5703125" style="57" customWidth="1"/>
    <col min="25" max="25" width="11" style="57" customWidth="1"/>
    <col min="26" max="26" width="11.7109375" style="57" customWidth="1"/>
    <col min="27" max="27" width="12" style="57" customWidth="1"/>
    <col min="28" max="16384" width="9.140625" style="57"/>
  </cols>
  <sheetData>
    <row r="1" spans="1:15" ht="42.75" customHeight="1">
      <c r="A1" s="286" t="s">
        <v>269</v>
      </c>
      <c r="B1" s="285"/>
      <c r="C1" s="285"/>
      <c r="D1" s="285"/>
      <c r="E1" s="285"/>
    </row>
    <row r="2" spans="1:15">
      <c r="A2" s="68" t="s">
        <v>127</v>
      </c>
      <c r="B2" s="68" t="s">
        <v>4</v>
      </c>
      <c r="C2" s="68" t="s">
        <v>5</v>
      </c>
      <c r="D2" s="86"/>
      <c r="E2" s="68" t="s">
        <v>24</v>
      </c>
      <c r="F2" s="68" t="s">
        <v>4</v>
      </c>
      <c r="G2" s="68" t="s">
        <v>5</v>
      </c>
      <c r="H2" s="68" t="s">
        <v>57</v>
      </c>
      <c r="I2" s="86"/>
      <c r="J2" s="68" t="s">
        <v>22</v>
      </c>
      <c r="K2" s="68" t="s">
        <v>4</v>
      </c>
      <c r="L2" s="68" t="s">
        <v>5</v>
      </c>
      <c r="M2" s="68" t="s">
        <v>32</v>
      </c>
      <c r="N2" s="68" t="s">
        <v>5</v>
      </c>
      <c r="O2" s="69"/>
    </row>
    <row r="3" spans="1:15" ht="15.75">
      <c r="A3" s="109" t="s">
        <v>56</v>
      </c>
      <c r="B3" s="75">
        <v>4.47</v>
      </c>
      <c r="C3" s="59" t="s">
        <v>0</v>
      </c>
      <c r="D3" s="58"/>
      <c r="E3" s="71" t="s">
        <v>164</v>
      </c>
      <c r="F3" s="75">
        <f t="shared" ref="F3:F11" si="0">H3</f>
        <v>8.9300000000000004E-3</v>
      </c>
      <c r="G3" s="72" t="s">
        <v>25</v>
      </c>
      <c r="H3" s="101">
        <v>8.9300000000000004E-3</v>
      </c>
      <c r="I3" s="58"/>
      <c r="J3" s="60" t="s">
        <v>17</v>
      </c>
      <c r="K3" s="172">
        <f t="shared" ref="K3:K24" si="1">IF(ABS((W47*$B$4+$N$78*V47)*M3)&gt;N89,N89,(W47*$B$4+$N$78*V47)*M3)</f>
        <v>8.2679543293897174E-4</v>
      </c>
      <c r="L3" s="72" t="s">
        <v>23</v>
      </c>
      <c r="M3" s="173">
        <f t="shared" ref="M3:M24" si="2">(-Y47+((Y47^(2)-4*X47*Z47)^(0.5)))/(2*X47)</f>
        <v>0.41270349114102506</v>
      </c>
      <c r="N3" s="59" t="s">
        <v>18</v>
      </c>
    </row>
    <row r="4" spans="1:15" ht="15.75">
      <c r="A4" s="109" t="s">
        <v>122</v>
      </c>
      <c r="B4" s="111">
        <v>1225</v>
      </c>
      <c r="C4" s="59" t="s">
        <v>1</v>
      </c>
      <c r="D4" s="58"/>
      <c r="E4" s="71" t="s">
        <v>34</v>
      </c>
      <c r="F4" s="75">
        <f t="shared" si="0"/>
        <v>1</v>
      </c>
      <c r="G4" s="72" t="s">
        <v>26</v>
      </c>
      <c r="H4" s="101">
        <v>1</v>
      </c>
      <c r="I4" s="58"/>
      <c r="J4" s="62" t="s">
        <v>6</v>
      </c>
      <c r="K4" s="172">
        <f t="shared" si="1"/>
        <v>8.846881461458396E-2</v>
      </c>
      <c r="L4" s="72" t="s">
        <v>23</v>
      </c>
      <c r="M4" s="173">
        <f t="shared" si="2"/>
        <v>8.3305383395668758E-2</v>
      </c>
      <c r="N4" s="59" t="s">
        <v>18</v>
      </c>
    </row>
    <row r="5" spans="1:15" ht="14.25">
      <c r="A5" s="99" t="s">
        <v>123</v>
      </c>
      <c r="B5" s="75">
        <v>25</v>
      </c>
      <c r="C5" s="59" t="s">
        <v>37</v>
      </c>
      <c r="D5" s="58"/>
      <c r="E5" s="71" t="s">
        <v>36</v>
      </c>
      <c r="F5" s="75">
        <f t="shared" si="0"/>
        <v>8.2100000000000003E-5</v>
      </c>
      <c r="G5" s="72" t="s">
        <v>162</v>
      </c>
      <c r="H5" s="101">
        <v>8.2100000000000003E-5</v>
      </c>
      <c r="I5" s="58"/>
      <c r="J5" s="62" t="s">
        <v>13</v>
      </c>
      <c r="K5" s="172">
        <f t="shared" si="1"/>
        <v>0.43613953830719304</v>
      </c>
      <c r="L5" s="72" t="s">
        <v>23</v>
      </c>
      <c r="M5" s="173">
        <f t="shared" si="2"/>
        <v>7.6655470280088747E-2</v>
      </c>
      <c r="N5" s="59" t="s">
        <v>18</v>
      </c>
    </row>
    <row r="6" spans="1:15" ht="15.75">
      <c r="A6" s="99" t="s">
        <v>130</v>
      </c>
      <c r="B6" s="112">
        <v>1</v>
      </c>
      <c r="C6" s="82" t="s">
        <v>3</v>
      </c>
      <c r="D6" s="58"/>
      <c r="E6" s="71" t="s">
        <v>163</v>
      </c>
      <c r="F6" s="75">
        <f t="shared" si="0"/>
        <v>1.8100000000000001E-4</v>
      </c>
      <c r="G6" s="72" t="s">
        <v>25</v>
      </c>
      <c r="H6" s="101">
        <v>1.8100000000000001E-4</v>
      </c>
      <c r="I6" s="58"/>
      <c r="J6" s="60" t="s">
        <v>69</v>
      </c>
      <c r="K6" s="172">
        <f t="shared" si="1"/>
        <v>5.8980685536624252E-3</v>
      </c>
      <c r="L6" s="72" t="s">
        <v>23</v>
      </c>
      <c r="M6" s="173">
        <f t="shared" si="2"/>
        <v>0.41944496736260012</v>
      </c>
      <c r="N6" s="59" t="s">
        <v>18</v>
      </c>
    </row>
    <row r="7" spans="1:15" ht="15.75">
      <c r="A7" s="109" t="s">
        <v>124</v>
      </c>
      <c r="B7" s="111">
        <v>1</v>
      </c>
      <c r="C7" s="59" t="s">
        <v>19</v>
      </c>
      <c r="D7" s="58"/>
      <c r="E7" s="71" t="s">
        <v>27</v>
      </c>
      <c r="F7" s="75">
        <f t="shared" si="0"/>
        <v>1.1999999999999999E-3</v>
      </c>
      <c r="G7" s="72" t="s">
        <v>26</v>
      </c>
      <c r="H7" s="101">
        <v>1.1999999999999999E-3</v>
      </c>
      <c r="I7" s="58"/>
      <c r="J7" s="62" t="s">
        <v>9</v>
      </c>
      <c r="K7" s="172">
        <f t="shared" si="1"/>
        <v>1.1670612891270469E-2</v>
      </c>
      <c r="L7" s="72" t="s">
        <v>23</v>
      </c>
      <c r="M7" s="173">
        <f t="shared" si="2"/>
        <v>0.12152794185577316</v>
      </c>
      <c r="N7" s="59" t="s">
        <v>18</v>
      </c>
    </row>
    <row r="8" spans="1:15" ht="15.75">
      <c r="A8" s="109" t="s">
        <v>131</v>
      </c>
      <c r="B8" s="75">
        <v>7</v>
      </c>
      <c r="C8" s="59" t="s">
        <v>46</v>
      </c>
      <c r="D8" s="58"/>
      <c r="E8" s="71" t="s">
        <v>140</v>
      </c>
      <c r="F8" s="75">
        <f t="shared" si="0"/>
        <v>725</v>
      </c>
      <c r="G8" s="59" t="s">
        <v>1</v>
      </c>
      <c r="H8" s="101">
        <f>B4-B10</f>
        <v>725</v>
      </c>
      <c r="I8" s="58"/>
      <c r="J8" s="63" t="s">
        <v>7</v>
      </c>
      <c r="K8" s="172">
        <f t="shared" si="1"/>
        <v>0.11350492945785985</v>
      </c>
      <c r="L8" s="72" t="s">
        <v>23</v>
      </c>
      <c r="M8" s="173">
        <f t="shared" si="2"/>
        <v>4.1197211702010468E-2</v>
      </c>
      <c r="N8" s="59" t="s">
        <v>18</v>
      </c>
    </row>
    <row r="9" spans="1:15" ht="15.75">
      <c r="A9" s="109" t="s">
        <v>136</v>
      </c>
      <c r="B9" s="75">
        <v>3000</v>
      </c>
      <c r="C9" s="59" t="s">
        <v>18</v>
      </c>
      <c r="D9" s="58"/>
      <c r="E9" s="71" t="s">
        <v>42</v>
      </c>
      <c r="F9" s="75">
        <f t="shared" si="0"/>
        <v>0.83</v>
      </c>
      <c r="G9" s="59" t="s">
        <v>43</v>
      </c>
      <c r="H9" s="101">
        <v>0.83</v>
      </c>
      <c r="I9" s="58"/>
      <c r="J9" s="62" t="s">
        <v>8</v>
      </c>
      <c r="K9" s="172">
        <f t="shared" si="1"/>
        <v>8.6630032913542973E-2</v>
      </c>
      <c r="L9" s="72" t="s">
        <v>23</v>
      </c>
      <c r="M9" s="173">
        <f t="shared" si="2"/>
        <v>5.8007243356284613E-2</v>
      </c>
      <c r="N9" s="59" t="s">
        <v>18</v>
      </c>
    </row>
    <row r="10" spans="1:15" ht="15.75">
      <c r="A10" s="99" t="s">
        <v>121</v>
      </c>
      <c r="B10" s="75">
        <v>500</v>
      </c>
      <c r="C10" s="59" t="s">
        <v>1</v>
      </c>
      <c r="D10" s="58"/>
      <c r="E10" s="71" t="s">
        <v>44</v>
      </c>
      <c r="F10" s="75">
        <f t="shared" si="0"/>
        <v>3</v>
      </c>
      <c r="G10" s="59" t="s">
        <v>45</v>
      </c>
      <c r="H10" s="101">
        <v>3</v>
      </c>
      <c r="I10" s="58"/>
      <c r="J10" s="62" t="s">
        <v>11</v>
      </c>
      <c r="K10" s="172">
        <f t="shared" si="1"/>
        <v>0</v>
      </c>
      <c r="L10" s="72" t="s">
        <v>23</v>
      </c>
      <c r="M10" s="173">
        <f t="shared" si="2"/>
        <v>0</v>
      </c>
      <c r="N10" s="59" t="s">
        <v>18</v>
      </c>
    </row>
    <row r="11" spans="1:15" ht="15.75">
      <c r="A11" s="109" t="s">
        <v>137</v>
      </c>
      <c r="B11" s="75">
        <v>3.51</v>
      </c>
      <c r="C11" s="59" t="s">
        <v>19</v>
      </c>
      <c r="D11" s="58"/>
      <c r="E11" s="71" t="s">
        <v>85</v>
      </c>
      <c r="F11" s="75">
        <f t="shared" si="0"/>
        <v>0.33</v>
      </c>
      <c r="G11" s="59" t="s">
        <v>43</v>
      </c>
      <c r="H11" s="101">
        <v>0.33</v>
      </c>
      <c r="I11" s="58"/>
      <c r="J11" s="63" t="s">
        <v>70</v>
      </c>
      <c r="K11" s="172">
        <f t="shared" si="1"/>
        <v>0</v>
      </c>
      <c r="L11" s="72" t="s">
        <v>23</v>
      </c>
      <c r="M11" s="173">
        <f t="shared" si="2"/>
        <v>0</v>
      </c>
      <c r="N11" s="59" t="s">
        <v>18</v>
      </c>
    </row>
    <row r="12" spans="1:15" ht="15.75">
      <c r="A12" s="99" t="s">
        <v>141</v>
      </c>
      <c r="B12" s="75">
        <v>1.6000000000000001E-3</v>
      </c>
      <c r="C12" s="59" t="s">
        <v>19</v>
      </c>
      <c r="D12" s="58"/>
      <c r="E12" s="56" t="s">
        <v>90</v>
      </c>
      <c r="F12" s="97">
        <v>8.4999999999999999E-6</v>
      </c>
      <c r="G12" s="59" t="s">
        <v>89</v>
      </c>
      <c r="H12" s="103">
        <v>8.4999999999999999E-6</v>
      </c>
      <c r="I12" s="58"/>
      <c r="J12" s="63" t="s">
        <v>16</v>
      </c>
      <c r="K12" s="172">
        <f t="shared" si="1"/>
        <v>0</v>
      </c>
      <c r="L12" s="72" t="s">
        <v>23</v>
      </c>
      <c r="M12" s="173">
        <f t="shared" si="2"/>
        <v>0</v>
      </c>
      <c r="N12" s="59" t="s">
        <v>18</v>
      </c>
    </row>
    <row r="13" spans="1:15" ht="15.75">
      <c r="A13" s="99" t="s">
        <v>135</v>
      </c>
      <c r="B13" s="75">
        <v>1500</v>
      </c>
      <c r="C13" s="59" t="s">
        <v>18</v>
      </c>
      <c r="D13" s="58"/>
      <c r="E13" s="71" t="s">
        <v>148</v>
      </c>
      <c r="F13" s="75">
        <f>H13</f>
        <v>0.67</v>
      </c>
      <c r="G13" s="120" t="s">
        <v>149</v>
      </c>
      <c r="H13" s="103">
        <v>0.67</v>
      </c>
      <c r="I13" s="58"/>
      <c r="J13" s="60" t="s">
        <v>71</v>
      </c>
      <c r="K13" s="172">
        <f t="shared" si="1"/>
        <v>0</v>
      </c>
      <c r="L13" s="72" t="s">
        <v>23</v>
      </c>
      <c r="M13" s="173">
        <f t="shared" si="2"/>
        <v>0</v>
      </c>
      <c r="N13" s="59" t="s">
        <v>18</v>
      </c>
    </row>
    <row r="14" spans="1:15" ht="15.75">
      <c r="A14" s="99" t="s">
        <v>147</v>
      </c>
      <c r="B14" s="75">
        <v>150</v>
      </c>
      <c r="C14" s="59" t="s">
        <v>18</v>
      </c>
      <c r="D14" s="58"/>
      <c r="G14" s="113"/>
      <c r="H14" s="113"/>
      <c r="I14" s="58"/>
      <c r="J14" s="62" t="s">
        <v>12</v>
      </c>
      <c r="K14" s="172">
        <f t="shared" si="1"/>
        <v>0</v>
      </c>
      <c r="L14" s="72" t="s">
        <v>23</v>
      </c>
      <c r="M14" s="173">
        <f t="shared" si="2"/>
        <v>0</v>
      </c>
      <c r="N14" s="59" t="s">
        <v>18</v>
      </c>
    </row>
    <row r="15" spans="1:15" ht="15.75">
      <c r="A15" s="71" t="s">
        <v>166</v>
      </c>
      <c r="B15" s="75">
        <v>15000</v>
      </c>
      <c r="C15" s="59" t="s">
        <v>18</v>
      </c>
      <c r="D15" s="58"/>
      <c r="G15" s="113"/>
      <c r="H15" s="114"/>
      <c r="I15" s="58"/>
      <c r="J15" s="62" t="s">
        <v>10</v>
      </c>
      <c r="K15" s="172">
        <f t="shared" si="1"/>
        <v>0</v>
      </c>
      <c r="L15" s="72" t="s">
        <v>23</v>
      </c>
      <c r="M15" s="173">
        <f t="shared" si="2"/>
        <v>0</v>
      </c>
      <c r="N15" s="59" t="s">
        <v>18</v>
      </c>
    </row>
    <row r="16" spans="1:15" ht="15.75">
      <c r="A16" s="71" t="s">
        <v>169</v>
      </c>
      <c r="B16" s="75">
        <v>9</v>
      </c>
      <c r="C16" s="72" t="s">
        <v>168</v>
      </c>
      <c r="D16" s="58"/>
      <c r="G16" s="115"/>
      <c r="H16" s="116"/>
      <c r="I16" s="58"/>
      <c r="J16" s="63" t="s">
        <v>72</v>
      </c>
      <c r="K16" s="172">
        <f t="shared" si="1"/>
        <v>0</v>
      </c>
      <c r="L16" s="72" t="s">
        <v>23</v>
      </c>
      <c r="M16" s="173">
        <f t="shared" si="2"/>
        <v>0</v>
      </c>
      <c r="N16" s="59" t="s">
        <v>18</v>
      </c>
    </row>
    <row r="17" spans="1:14" ht="14.25">
      <c r="D17" s="58"/>
      <c r="I17" s="58"/>
      <c r="J17" s="63" t="s">
        <v>73</v>
      </c>
      <c r="K17" s="172">
        <f t="shared" si="1"/>
        <v>0</v>
      </c>
      <c r="L17" s="72" t="s">
        <v>23</v>
      </c>
      <c r="M17" s="173">
        <f t="shared" si="2"/>
        <v>0</v>
      </c>
      <c r="N17" s="59" t="s">
        <v>18</v>
      </c>
    </row>
    <row r="18" spans="1:14" ht="14.25">
      <c r="D18" s="58"/>
      <c r="I18" s="58"/>
      <c r="J18" s="64" t="s">
        <v>74</v>
      </c>
      <c r="K18" s="172">
        <f t="shared" si="1"/>
        <v>0</v>
      </c>
      <c r="L18" s="72" t="s">
        <v>23</v>
      </c>
      <c r="M18" s="173">
        <f t="shared" si="2"/>
        <v>0</v>
      </c>
      <c r="N18" s="59" t="s">
        <v>18</v>
      </c>
    </row>
    <row r="19" spans="1:14" ht="15">
      <c r="A19" s="283" t="s">
        <v>102</v>
      </c>
      <c r="B19" s="293"/>
      <c r="C19" s="293"/>
      <c r="D19" s="58"/>
      <c r="E19" s="110"/>
      <c r="I19" s="58"/>
      <c r="J19" s="63" t="s">
        <v>75</v>
      </c>
      <c r="K19" s="172">
        <f t="shared" si="1"/>
        <v>0</v>
      </c>
      <c r="L19" s="72" t="s">
        <v>23</v>
      </c>
      <c r="M19" s="173">
        <f t="shared" si="2"/>
        <v>0</v>
      </c>
      <c r="N19" s="59" t="s">
        <v>18</v>
      </c>
    </row>
    <row r="20" spans="1:14" ht="14.25">
      <c r="A20" s="60" t="s">
        <v>17</v>
      </c>
      <c r="B20" s="76">
        <v>1</v>
      </c>
      <c r="C20" s="59" t="s">
        <v>18</v>
      </c>
      <c r="D20" s="58"/>
      <c r="I20" s="58"/>
      <c r="J20" s="64" t="s">
        <v>78</v>
      </c>
      <c r="K20" s="172">
        <f t="shared" si="1"/>
        <v>0</v>
      </c>
      <c r="L20" s="72" t="s">
        <v>23</v>
      </c>
      <c r="M20" s="173">
        <f t="shared" si="2"/>
        <v>0</v>
      </c>
      <c r="N20" s="59" t="s">
        <v>18</v>
      </c>
    </row>
    <row r="21" spans="1:14" ht="14.25">
      <c r="A21" s="62" t="s">
        <v>6</v>
      </c>
      <c r="B21" s="76">
        <v>1</v>
      </c>
      <c r="C21" s="59" t="s">
        <v>18</v>
      </c>
      <c r="D21" s="58"/>
      <c r="I21" s="58"/>
      <c r="J21" s="65" t="s">
        <v>14</v>
      </c>
      <c r="K21" s="172">
        <f t="shared" si="1"/>
        <v>0</v>
      </c>
      <c r="L21" s="72" t="s">
        <v>23</v>
      </c>
      <c r="M21" s="173">
        <f t="shared" si="2"/>
        <v>0</v>
      </c>
      <c r="N21" s="59" t="s">
        <v>18</v>
      </c>
    </row>
    <row r="22" spans="1:14" ht="14.25">
      <c r="A22" s="62" t="s">
        <v>13</v>
      </c>
      <c r="B22" s="76">
        <v>1</v>
      </c>
      <c r="C22" s="59" t="s">
        <v>18</v>
      </c>
      <c r="D22" s="58"/>
      <c r="I22" s="58"/>
      <c r="J22" s="65" t="s">
        <v>79</v>
      </c>
      <c r="K22" s="172">
        <f t="shared" si="1"/>
        <v>0</v>
      </c>
      <c r="L22" s="72" t="s">
        <v>23</v>
      </c>
      <c r="M22" s="173">
        <f t="shared" si="2"/>
        <v>0</v>
      </c>
      <c r="N22" s="59" t="s">
        <v>18</v>
      </c>
    </row>
    <row r="23" spans="1:14" ht="14.25">
      <c r="A23" s="60" t="s">
        <v>69</v>
      </c>
      <c r="B23" s="76">
        <v>1</v>
      </c>
      <c r="C23" s="59" t="s">
        <v>18</v>
      </c>
      <c r="D23" s="58"/>
      <c r="I23" s="58"/>
      <c r="J23" s="65" t="s">
        <v>15</v>
      </c>
      <c r="K23" s="172">
        <f t="shared" si="1"/>
        <v>0</v>
      </c>
      <c r="L23" s="72" t="s">
        <v>23</v>
      </c>
      <c r="M23" s="173">
        <f t="shared" si="2"/>
        <v>0</v>
      </c>
      <c r="N23" s="59" t="s">
        <v>18</v>
      </c>
    </row>
    <row r="24" spans="1:14" ht="14.25">
      <c r="A24" s="62" t="s">
        <v>9</v>
      </c>
      <c r="B24" s="76">
        <v>1</v>
      </c>
      <c r="C24" s="59" t="s">
        <v>18</v>
      </c>
      <c r="D24" s="58"/>
      <c r="I24" s="58"/>
      <c r="J24" s="65" t="s">
        <v>80</v>
      </c>
      <c r="K24" s="172">
        <f t="shared" si="1"/>
        <v>0</v>
      </c>
      <c r="L24" s="72" t="s">
        <v>23</v>
      </c>
      <c r="M24" s="173">
        <f t="shared" si="2"/>
        <v>0</v>
      </c>
      <c r="N24" s="59" t="s">
        <v>18</v>
      </c>
    </row>
    <row r="25" spans="1:14" ht="14.25">
      <c r="A25" s="63" t="s">
        <v>7</v>
      </c>
      <c r="B25" s="76">
        <v>1</v>
      </c>
      <c r="C25" s="59" t="s">
        <v>18</v>
      </c>
      <c r="D25" s="58"/>
      <c r="I25" s="58"/>
      <c r="J25" s="65" t="s">
        <v>59</v>
      </c>
      <c r="K25" s="172" t="e">
        <f>IF(ABS((W69*$B$4+$N$78*V69)*M25)&gt;N111,N111,(W69*$B$4+$N$78*V69)*M25)</f>
        <v>#DIV/0!</v>
      </c>
      <c r="L25" s="72" t="s">
        <v>23</v>
      </c>
      <c r="M25" s="173" t="e">
        <f>(-Y69+((Y69^(2)-4*X69*Z69)^(0.5)))/(2*X69)</f>
        <v>#DIV/0!</v>
      </c>
      <c r="N25" s="59" t="s">
        <v>18</v>
      </c>
    </row>
    <row r="26" spans="1:14" ht="14.25">
      <c r="A26" s="62" t="s">
        <v>8</v>
      </c>
      <c r="B26" s="76">
        <v>1</v>
      </c>
      <c r="C26" s="59" t="s">
        <v>18</v>
      </c>
      <c r="D26" s="58"/>
      <c r="I26" s="58"/>
      <c r="J26" s="81" t="s">
        <v>60</v>
      </c>
      <c r="K26" s="172" t="e">
        <f>IF(ABS((W70*$B$4+$N$78*V70)*M26)&gt;N112,N112,(W70*$B$4+$N$78*V70)*M26)</f>
        <v>#DIV/0!</v>
      </c>
      <c r="L26" s="72" t="s">
        <v>23</v>
      </c>
      <c r="M26" s="173" t="e">
        <f>(-Y70+((Y70^(2)-4*X70*Z70)^(0.5)))/(2*X70)</f>
        <v>#DIV/0!</v>
      </c>
      <c r="N26" s="59" t="s">
        <v>18</v>
      </c>
    </row>
    <row r="27" spans="1:14" ht="14.25">
      <c r="A27" s="62" t="s">
        <v>11</v>
      </c>
      <c r="B27" s="76">
        <v>0</v>
      </c>
      <c r="C27" s="59" t="s">
        <v>18</v>
      </c>
      <c r="D27" s="58"/>
      <c r="I27" s="58"/>
      <c r="J27" s="65" t="s">
        <v>61</v>
      </c>
      <c r="K27" s="172" t="e">
        <f>IF(ABS((W71*$B$4+$N$78*V71)*M27)&gt;N113,N113,(W71*$B$4+$N$78*V71)*M27)</f>
        <v>#DIV/0!</v>
      </c>
      <c r="L27" s="72" t="s">
        <v>23</v>
      </c>
      <c r="M27" s="173" t="e">
        <f>(-Y71+((Y71^(2)-4*X71*Z71)^(0.5)))/(2*X71)</f>
        <v>#DIV/0!</v>
      </c>
      <c r="N27" s="59" t="s">
        <v>18</v>
      </c>
    </row>
    <row r="28" spans="1:14" ht="14.25">
      <c r="A28" s="63" t="s">
        <v>70</v>
      </c>
      <c r="B28" s="76">
        <v>0</v>
      </c>
      <c r="C28" s="59" t="s">
        <v>18</v>
      </c>
      <c r="D28" s="58"/>
      <c r="I28" s="58"/>
      <c r="J28" s="65" t="s">
        <v>256</v>
      </c>
      <c r="K28" s="172">
        <f>IF(ABS((W72*$B$4+$N$78*V72)*M28)&gt;N114,N114,(W72*$B$4+$N$78*V72)*M28)</f>
        <v>0</v>
      </c>
      <c r="L28" s="72" t="s">
        <v>23</v>
      </c>
      <c r="M28" s="173">
        <f>(-Y72+((Y72^(2)-4*X72*Z72)^(0.5)))/(2*X72)</f>
        <v>0</v>
      </c>
      <c r="N28" s="59" t="s">
        <v>18</v>
      </c>
    </row>
    <row r="29" spans="1:14" ht="14.25">
      <c r="A29" s="63" t="s">
        <v>16</v>
      </c>
      <c r="B29" s="76">
        <v>0</v>
      </c>
      <c r="C29" s="59" t="s">
        <v>18</v>
      </c>
      <c r="D29" s="58"/>
      <c r="I29" s="88"/>
    </row>
    <row r="30" spans="1:14" ht="14.25">
      <c r="A30" s="60" t="s">
        <v>71</v>
      </c>
      <c r="B30" s="76">
        <v>0</v>
      </c>
      <c r="C30" s="59" t="s">
        <v>18</v>
      </c>
      <c r="D30" s="58"/>
      <c r="I30" s="88"/>
      <c r="J30" s="212"/>
      <c r="K30" s="259"/>
      <c r="L30" s="89"/>
      <c r="M30" s="259"/>
      <c r="N30" s="185"/>
    </row>
    <row r="31" spans="1:14" ht="14.25">
      <c r="A31" s="62" t="s">
        <v>12</v>
      </c>
      <c r="B31" s="76">
        <v>0</v>
      </c>
      <c r="C31" s="59" t="s">
        <v>18</v>
      </c>
      <c r="D31" s="58"/>
      <c r="I31" s="55"/>
      <c r="J31" s="55"/>
      <c r="K31" s="55"/>
      <c r="L31" s="80"/>
      <c r="M31" s="55"/>
      <c r="N31" s="79"/>
    </row>
    <row r="32" spans="1:14" ht="14.25">
      <c r="A32" s="62" t="s">
        <v>10</v>
      </c>
      <c r="B32" s="76">
        <v>0</v>
      </c>
      <c r="C32" s="59" t="s">
        <v>18</v>
      </c>
      <c r="D32" s="58"/>
      <c r="J32" s="55"/>
      <c r="K32" s="55"/>
      <c r="L32" s="80"/>
      <c r="M32" s="55"/>
      <c r="N32" s="79"/>
    </row>
    <row r="33" spans="1:28" ht="14.25">
      <c r="A33" s="63" t="s">
        <v>72</v>
      </c>
      <c r="B33" s="76">
        <v>0</v>
      </c>
      <c r="C33" s="59" t="s">
        <v>18</v>
      </c>
      <c r="D33" s="58"/>
      <c r="J33" s="55"/>
      <c r="K33" s="55"/>
      <c r="L33" s="80"/>
      <c r="M33" s="55"/>
      <c r="N33" s="79"/>
    </row>
    <row r="34" spans="1:28" ht="14.25">
      <c r="A34" s="63" t="s">
        <v>73</v>
      </c>
      <c r="B34" s="76">
        <v>0</v>
      </c>
      <c r="C34" s="59" t="s">
        <v>18</v>
      </c>
      <c r="D34" s="58"/>
      <c r="J34" s="55"/>
      <c r="K34" s="55"/>
      <c r="L34" s="80"/>
      <c r="M34" s="55"/>
      <c r="N34" s="79"/>
    </row>
    <row r="35" spans="1:28" ht="14.25">
      <c r="A35" s="64" t="s">
        <v>74</v>
      </c>
      <c r="B35" s="76">
        <v>0</v>
      </c>
      <c r="C35" s="59" t="s">
        <v>18</v>
      </c>
      <c r="D35" s="58"/>
      <c r="J35" s="55"/>
      <c r="K35" s="55"/>
      <c r="L35" s="80"/>
      <c r="M35" s="55"/>
      <c r="N35" s="79"/>
    </row>
    <row r="36" spans="1:28" ht="14.25">
      <c r="A36" s="63" t="s">
        <v>75</v>
      </c>
      <c r="B36" s="76">
        <v>0</v>
      </c>
      <c r="C36" s="59" t="s">
        <v>18</v>
      </c>
      <c r="D36" s="58"/>
      <c r="J36" s="55"/>
      <c r="K36" s="55"/>
      <c r="L36" s="80"/>
      <c r="M36" s="55"/>
      <c r="N36" s="79"/>
    </row>
    <row r="37" spans="1:28" ht="14.25">
      <c r="A37" s="64" t="s">
        <v>78</v>
      </c>
      <c r="B37" s="76">
        <v>0</v>
      </c>
      <c r="C37" s="59" t="s">
        <v>18</v>
      </c>
      <c r="D37" s="58"/>
      <c r="J37" s="55"/>
      <c r="K37" s="55"/>
      <c r="L37" s="80"/>
      <c r="M37" s="55"/>
      <c r="N37" s="79"/>
    </row>
    <row r="38" spans="1:28" ht="14.25">
      <c r="A38" s="65" t="s">
        <v>14</v>
      </c>
      <c r="B38" s="76">
        <v>0</v>
      </c>
      <c r="C38" s="59" t="s">
        <v>18</v>
      </c>
      <c r="D38" s="58"/>
      <c r="J38" s="55"/>
      <c r="K38" s="55"/>
      <c r="L38" s="80"/>
      <c r="M38" s="55"/>
      <c r="N38" s="79"/>
    </row>
    <row r="39" spans="1:28" ht="14.25">
      <c r="A39" s="65" t="s">
        <v>79</v>
      </c>
      <c r="B39" s="76">
        <v>0</v>
      </c>
      <c r="C39" s="59" t="s">
        <v>18</v>
      </c>
      <c r="D39" s="58"/>
    </row>
    <row r="40" spans="1:28" ht="14.25">
      <c r="A40" s="65" t="s">
        <v>15</v>
      </c>
      <c r="B40" s="76">
        <v>0</v>
      </c>
      <c r="C40" s="59" t="s">
        <v>18</v>
      </c>
      <c r="D40" s="58"/>
    </row>
    <row r="41" spans="1:28" ht="14.25">
      <c r="A41" s="65" t="s">
        <v>80</v>
      </c>
      <c r="B41" s="76">
        <v>0</v>
      </c>
      <c r="C41" s="59" t="s">
        <v>18</v>
      </c>
      <c r="D41" s="55"/>
    </row>
    <row r="42" spans="1:28" ht="14.25">
      <c r="A42" s="65" t="s">
        <v>59</v>
      </c>
      <c r="B42" s="76">
        <v>0</v>
      </c>
      <c r="C42" s="59" t="s">
        <v>18</v>
      </c>
      <c r="D42" s="55"/>
    </row>
    <row r="43" spans="1:28" ht="15.75">
      <c r="A43" s="81" t="s">
        <v>60</v>
      </c>
      <c r="B43" s="76">
        <v>0</v>
      </c>
      <c r="C43" s="59" t="s">
        <v>18</v>
      </c>
      <c r="D43" s="55"/>
      <c r="M43" s="56" t="s">
        <v>56</v>
      </c>
      <c r="N43" s="274">
        <f>IF(B3&lt;minWindSpd,minWindSpd,B3)</f>
        <v>4.47</v>
      </c>
      <c r="O43" s="59" t="s">
        <v>0</v>
      </c>
    </row>
    <row r="44" spans="1:28" ht="14.25">
      <c r="A44" s="65" t="s">
        <v>61</v>
      </c>
      <c r="B44" s="76">
        <v>0</v>
      </c>
      <c r="C44" s="59" t="s">
        <v>18</v>
      </c>
      <c r="M44" s="273" t="str">
        <f>IF(B3&lt;minWindSpd,CONCATENATE("Windspeed has been set at ",TEXT(minWindSpd,"0.##")," m/s, which is the minimum windspeed for the mass transfer calculations"),"")</f>
        <v/>
      </c>
    </row>
    <row r="45" spans="1:28" ht="14.25">
      <c r="A45" s="65" t="s">
        <v>256</v>
      </c>
      <c r="B45" s="76">
        <v>0</v>
      </c>
      <c r="C45" s="59" t="s">
        <v>18</v>
      </c>
      <c r="H45" s="55"/>
      <c r="I45" s="55"/>
      <c r="J45" s="55"/>
      <c r="K45" s="55"/>
    </row>
    <row r="46" spans="1:28" ht="14.25">
      <c r="H46" s="55"/>
      <c r="I46" s="295"/>
      <c r="J46" s="295"/>
      <c r="K46" s="295"/>
      <c r="M46" s="83" t="s">
        <v>21</v>
      </c>
      <c r="N46" s="118" t="s">
        <v>107</v>
      </c>
      <c r="O46" s="118" t="s">
        <v>103</v>
      </c>
      <c r="P46" s="118" t="s">
        <v>108</v>
      </c>
      <c r="Q46" s="118" t="s">
        <v>105</v>
      </c>
      <c r="R46" s="118" t="s">
        <v>104</v>
      </c>
      <c r="S46" s="118" t="s">
        <v>109</v>
      </c>
      <c r="T46" s="118" t="s">
        <v>110</v>
      </c>
      <c r="U46" s="118" t="s">
        <v>111</v>
      </c>
      <c r="V46" s="118" t="s">
        <v>35</v>
      </c>
      <c r="W46" s="118" t="s">
        <v>112</v>
      </c>
      <c r="X46" s="95" t="s">
        <v>82</v>
      </c>
      <c r="Y46" s="95" t="s">
        <v>83</v>
      </c>
      <c r="Z46" s="95" t="s">
        <v>84</v>
      </c>
      <c r="AA46" s="118" t="s">
        <v>120</v>
      </c>
      <c r="AB46" s="135" t="s">
        <v>167</v>
      </c>
    </row>
    <row r="47" spans="1:28">
      <c r="A47" s="212"/>
      <c r="B47" s="216"/>
      <c r="C47" s="185"/>
      <c r="H47" s="55"/>
      <c r="I47" s="55"/>
      <c r="J47" s="55"/>
      <c r="K47" s="55"/>
      <c r="M47" s="60" t="s">
        <v>17</v>
      </c>
      <c r="N47" s="105">
        <f>$F$3/($F$4*IF(ABS('Chemical Properties'!F41)&gt;0,'Chemical Properties'!F41,'Chemical Properties'!F4))</f>
        <v>544.51219512195132</v>
      </c>
      <c r="O47" s="105">
        <f>$F$6/($F$7*IF(ABS('Chemical Properties'!G41)&gt;0,'Chemical Properties'!G41,'Chemical Properties'!G4))</f>
        <v>1.0055555555555558</v>
      </c>
      <c r="P47" s="105">
        <f>IF($N$43&lt;3.25,0.00000278*(IF(ABS('Chemical Properties'!F41)&gt;0,'Chemical Properties'!F41,'Chemical Properties'!F4)/$F$12)^(2/3),IF($N$80&lt;14,IF($N$82&lt;0.3,0.000001+0.0144*$N$82^2.2*N47^(-0.5),0.000001+0.00341*$N$82*N47^(-0.5)),IF($N$80&lt;=51.2,(0.000000002605*$N$80+0.0000001277)*$N$43^2*(IF(ABS('Chemical Properties'!F41)&gt;0,'Chemical Properties'!F41,'Chemical Properties'!F4)/$F$12)^(2/3),0.000000261*$N$43^2*(IF(ABS('Chemical Properties'!F41)&gt;0,'Chemical Properties'!F41,'Chemical Properties'!F4)/$F$12)^(2/3))))</f>
        <v>8.3489900838336326E-6</v>
      </c>
      <c r="Q47" s="71">
        <f>($N$83*((IF(ABS('Chemical Properties'!F41)&gt;0,'Chemical Properties'!F41,'Chemical Properties'!F4))/0.0000693)^(0.5))/$N$84</f>
        <v>7.7410666424548581E-5</v>
      </c>
      <c r="R47" s="105">
        <f t="shared" ref="R47:R72" si="3">4.82*10^(-3)*$N$43^(0.78)*O47^(-0.67)*(2*($B$4/3.14)^0.5)^(-0.11)</f>
        <v>1.0304933316215292E-2</v>
      </c>
      <c r="S47" s="72">
        <f>3*Q47</f>
        <v>2.3223199927364574E-4</v>
      </c>
      <c r="T47" s="105">
        <f>(Q47*V47*S47)/(V47*S47+Q47)</f>
        <v>4.3143301297194709E-8</v>
      </c>
      <c r="U47" s="105">
        <f>(P47*V47*R47)/(V47*R47+P47)</f>
        <v>1.5580300827710854E-6</v>
      </c>
      <c r="V47" s="105">
        <f>IF(ABS('Chemical Properties'!E41)&gt;0,'Chemical Properties'!E41,'Chemical Properties'!E4)/($F$5*($B$5+273.15))</f>
        <v>1.8588032616073582E-4</v>
      </c>
      <c r="W47" s="105">
        <f>(T47*$B$10+U47*$F$8)/$B$4</f>
        <v>9.3970894747561983E-7</v>
      </c>
      <c r="X47" s="105">
        <f t="shared" ref="X47:X68" si="4">(W47*$B$4+$N$78*V47+$B$12*AA47*$B$15+($B$7-$B$12))/$B$7</f>
        <v>1.0004041034187527</v>
      </c>
      <c r="Y47" s="105">
        <f>((IF(ABS('Chemical Properties'!J41)&gt;0,'Chemical Properties'!J41,'Chemical Properties'!J4)/$B$7)*(W47*$B$4+$N$78*V47+$B$12*AA47*$B$15+($B$7-$B$12))+((IF(ABS('Chemical Properties'!I41)&gt;0,'Chemical Properties'!I41,'Chemical Properties'!I4)*$B$9*$B$4*$B$8)/$B$7)-B20)</f>
        <v>217.66136930768775</v>
      </c>
      <c r="Z47" s="105">
        <f>-IF(ABS('Chemical Properties'!J41)&gt;0,'Chemical Properties'!J41,'Chemical Properties'!J4)*B20</f>
        <v>-90</v>
      </c>
      <c r="AA47" s="105">
        <f>0.000001*$F$11*'Chemical Properties'!N4</f>
        <v>3.0797391926300696E-8</v>
      </c>
      <c r="AB47" s="88"/>
    </row>
    <row r="48" spans="1:28">
      <c r="H48" s="55"/>
      <c r="I48" s="55"/>
      <c r="J48" s="55"/>
      <c r="K48" s="55"/>
      <c r="M48" s="62" t="s">
        <v>6</v>
      </c>
      <c r="N48" s="105">
        <f>$F$3/($F$4*IF(ABS('Chemical Properties'!F42)&gt;0,'Chemical Properties'!F42,'Chemical Properties'!F5))</f>
        <v>911.22448979591843</v>
      </c>
      <c r="O48" s="105">
        <f>$F$6/($F$7*IF(ABS('Chemical Properties'!G42)&gt;0,'Chemical Properties'!G42,'Chemical Properties'!G5))</f>
        <v>1.714015151515152</v>
      </c>
      <c r="P48" s="105">
        <f>IF($N$43&lt;3.25,0.00000278*(IF(ABS('Chemical Properties'!F42)&gt;0,'Chemical Properties'!F42,'Chemical Properties'!F5)/$F$12)^(2/3),IF($N$80&lt;14,IF($N$82&lt;0.3,0.000001+0.0144*$N$82^2.2*N48^(-0.5),0.000001+0.00341*$N$82*N48^(-0.5)),IF($N$80&lt;=51.2,(0.000000002605*$N$80+0.0000001277)*$N$43^2*(IF(ABS('Chemical Properties'!F42)&gt;0,'Chemical Properties'!F42,'Chemical Properties'!F5)/$F$12)^(2/3),0.000000261*$N$43^2*(IF(ABS('Chemical Properties'!F42)&gt;0,'Chemical Properties'!F42,'Chemical Properties'!F5)/$F$12)^(2/3))))</f>
        <v>6.6809213304666372E-6</v>
      </c>
      <c r="Q48" s="71">
        <f>($N$83*((IF(ABS('Chemical Properties'!F42)&gt;0,'Chemical Properties'!F42,'Chemical Properties'!F5))/0.0000693)^(0.5))/$N$84</f>
        <v>5.9840046194136484E-5</v>
      </c>
      <c r="R48" s="105">
        <f t="shared" si="3"/>
        <v>7.208873962855686E-3</v>
      </c>
      <c r="S48" s="72">
        <f t="shared" ref="S48:S68" si="5">3*Q48</f>
        <v>1.7952013858240945E-4</v>
      </c>
      <c r="T48" s="105">
        <f t="shared" ref="T48:T68" si="6">(Q48*V48*S48)/(V48*S48+Q48)</f>
        <v>2.4301116594989943E-5</v>
      </c>
      <c r="U48" s="105">
        <f t="shared" ref="U48:U68" si="7">(P48*V48*R48)/(V48*R48+P48)</f>
        <v>6.6538666513704814E-6</v>
      </c>
      <c r="V48" s="105">
        <f>IF(ABS('Chemical Properties'!E42)&gt;0,'Chemical Properties'!E42,'Chemical Properties'!E5)/($F$5*($B$5+273.15))</f>
        <v>0.22792954908029947</v>
      </c>
      <c r="W48" s="105">
        <f t="shared" ref="W48:W68" si="8">(T48*$B$10+U48*$F$8)/$B$4</f>
        <v>1.3856825812031485E-5</v>
      </c>
      <c r="X48" s="105">
        <f t="shared" si="4"/>
        <v>2.0608933214805152</v>
      </c>
      <c r="Y48" s="105">
        <f>((IF(ABS('Chemical Properties'!J42)&gt;0,'Chemical Properties'!J42,'Chemical Properties'!J5)/$B$7)*(W48*$B$4+$N$78*V48+$B$12*AA48*$B$15+($B$7-$B$12))+((IF(ABS('Chemical Properties'!I42)&gt;0,'Chemical Properties'!I42,'Chemical Properties'!I5)*$B$9*$B$4*$B$8)/$B$7)-B21)</f>
        <v>162.74009983914033</v>
      </c>
      <c r="Z48" s="105">
        <f>-IF(ABS('Chemical Properties'!J42)&gt;0,'Chemical Properties'!J42,'Chemical Properties'!J5)*B21</f>
        <v>-13.571428571428573</v>
      </c>
      <c r="AA48" s="105">
        <f>0.000001*$F$11*'Chemical Properties'!N5</f>
        <v>2.1306589558143626E-5</v>
      </c>
      <c r="AB48" s="88"/>
    </row>
    <row r="49" spans="8:28">
      <c r="H49" s="55"/>
      <c r="I49" s="55"/>
      <c r="J49" s="55"/>
      <c r="K49" s="55"/>
      <c r="M49" s="62" t="s">
        <v>13</v>
      </c>
      <c r="N49" s="105">
        <f>$F$3/($F$4*IF(ABS('Chemical Properties'!F43)&gt;0,'Chemical Properties'!F43,'Chemical Properties'!F6))</f>
        <v>893</v>
      </c>
      <c r="O49" s="105">
        <f>$F$6/($F$7*IF(ABS('Chemical Properties'!G43)&gt;0,'Chemical Properties'!G43,'Chemical Properties'!G6))</f>
        <v>1.4503205128205132</v>
      </c>
      <c r="P49" s="105">
        <f>IF($N$43&lt;3.25,0.00000278*(IF(ABS('Chemical Properties'!F43)&gt;0,'Chemical Properties'!F43,'Chemical Properties'!F6)/$F$12)^(2/3),IF($N$80&lt;14,IF($N$82&lt;0.3,0.000001+0.0144*$N$82^2.2*N49^(-0.5),0.000001+0.00341*$N$82*N49^(-0.5)),IF($N$80&lt;=51.2,(0.000000002605*$N$80+0.0000001277)*$N$43^2*(IF(ABS('Chemical Properties'!F43)&gt;0,'Chemical Properties'!F43,'Chemical Properties'!F6)/$F$12)^(2/3),0.000000261*$N$43^2*(IF(ABS('Chemical Properties'!F43)&gt;0,'Chemical Properties'!F43,'Chemical Properties'!F6)/$F$12)^(2/3))))</f>
        <v>6.7385971373718054E-6</v>
      </c>
      <c r="Q49" s="71">
        <f>($N$83*((IF(ABS('Chemical Properties'!F43)&gt;0,'Chemical Properties'!F43,'Chemical Properties'!F6))/0.0000693)^(0.5))/$N$84</f>
        <v>6.044757492912882E-5</v>
      </c>
      <c r="R49" s="105">
        <f t="shared" si="3"/>
        <v>8.0626234907690639E-3</v>
      </c>
      <c r="S49" s="72">
        <f t="shared" si="5"/>
        <v>1.8134272478738647E-4</v>
      </c>
      <c r="T49" s="105">
        <f t="shared" si="6"/>
        <v>4.7597769533292711E-5</v>
      </c>
      <c r="U49" s="105">
        <f t="shared" si="7"/>
        <v>6.7340388685302903E-6</v>
      </c>
      <c r="V49" s="105">
        <f>IF(ABS('Chemical Properties'!E43)&gt;0,'Chemical Properties'!E43,'Chemical Properties'!E6)/($F$5*($B$5+273.15))</f>
        <v>1.234720891796967</v>
      </c>
      <c r="W49" s="105">
        <f t="shared" si="8"/>
        <v>2.3413112609249644E-5</v>
      </c>
      <c r="X49" s="105">
        <f t="shared" si="4"/>
        <v>6.6883865709312991</v>
      </c>
      <c r="Y49" s="105">
        <f>((IF(ABS('Chemical Properties'!J43)&gt;0,'Chemical Properties'!J43,'Chemical Properties'!J6)/$B$7)*(W49*$B$4+$N$78*V49+$B$12*AA49*$B$15+($B$7-$B$12))+((IF(ABS('Chemical Properties'!I43)&gt;0,'Chemical Properties'!I43,'Chemical Properties'!I6)*$B$9*$B$4*$B$8)/$B$7)-B22)</f>
        <v>222.84922788100414</v>
      </c>
      <c r="Z49" s="105">
        <f>-IF(ABS('Chemical Properties'!J43)&gt;0,'Chemical Properties'!J43,'Chemical Properties'!J6)*B22</f>
        <v>-17.121913733084138</v>
      </c>
      <c r="AA49" s="105">
        <f>0.000001*$F$11*'Chemical Properties'!N6</f>
        <v>1.5794793046647074E-5</v>
      </c>
      <c r="AB49" s="88"/>
    </row>
    <row r="50" spans="8:28">
      <c r="M50" s="60" t="s">
        <v>69</v>
      </c>
      <c r="N50" s="105">
        <f>$F$3/($F$4*IF(ABS('Chemical Properties'!F44)&gt;0,'Chemical Properties'!F44,'Chemical Properties'!F7))</f>
        <v>911.22448979591843</v>
      </c>
      <c r="O50" s="105">
        <f>$F$6/($F$7*IF(ABS('Chemical Properties'!G44)&gt;0,'Chemical Properties'!G44,'Chemical Properties'!G7))</f>
        <v>1.866749174917492</v>
      </c>
      <c r="P50" s="105">
        <f>IF($N$43&lt;3.25,0.00000278*(IF(ABS('Chemical Properties'!F44)&gt;0,'Chemical Properties'!F44,'Chemical Properties'!F7)/$F$12)^(2/3),IF($N$80&lt;14,IF($N$82&lt;0.3,0.000001+0.0144*$N$82^2.2*N50^(-0.5),0.000001+0.00341*$N$82*N50^(-0.5)),IF($N$80&lt;=51.2,(0.000000002605*$N$80+0.0000001277)*$N$43^2*(IF(ABS('Chemical Properties'!F44)&gt;0,'Chemical Properties'!F44,'Chemical Properties'!F7)/$F$12)^(2/3),0.000000261*$N$43^2*(IF(ABS('Chemical Properties'!F44)&gt;0,'Chemical Properties'!F44,'Chemical Properties'!F7)/$F$12)^(2/3))))</f>
        <v>6.6809213304666372E-6</v>
      </c>
      <c r="Q50" s="71">
        <f>($N$83*((IF(ABS('Chemical Properties'!F44)&gt;0,'Chemical Properties'!F44,'Chemical Properties'!F7))/0.0000693)^(0.5))/$N$84</f>
        <v>5.9840046194136484E-5</v>
      </c>
      <c r="R50" s="105">
        <f t="shared" si="3"/>
        <v>6.8081584369146389E-3</v>
      </c>
      <c r="S50" s="72">
        <f t="shared" si="5"/>
        <v>1.7952013858240945E-4</v>
      </c>
      <c r="T50" s="105">
        <f t="shared" si="6"/>
        <v>4.0717565017657923E-7</v>
      </c>
      <c r="U50" s="105">
        <f t="shared" si="7"/>
        <v>4.6729290012907968E-6</v>
      </c>
      <c r="V50" s="105">
        <f>IF(ABS('Chemical Properties'!E44)&gt;0,'Chemical Properties'!E44,'Chemical Properties'!E7)/($F$5*($B$5+273.15))</f>
        <v>2.2836725785461832E-3</v>
      </c>
      <c r="W50" s="105">
        <f t="shared" si="8"/>
        <v>2.9318051845094837E-6</v>
      </c>
      <c r="X50" s="105">
        <f t="shared" si="4"/>
        <v>1.0124688259881933</v>
      </c>
      <c r="Y50" s="105">
        <f>((IF(ABS('Chemical Properties'!J44)&gt;0,'Chemical Properties'!J44,'Chemical Properties'!J7)/$B$7)*(W50*$B$4+$N$78*V50+$B$12*AA50*$B$15+($B$7-$B$12))+((IF(ABS('Chemical Properties'!I44)&gt;0,'Chemical Properties'!I44,'Chemical Properties'!I7)*$B$9*$B$4*$B$8)/$B$7)-B23)</f>
        <v>23.4163549265486</v>
      </c>
      <c r="Z50" s="105">
        <f>-IF(ABS('Chemical Properties'!J44)&gt;0,'Chemical Properties'!J44,'Chemical Properties'!J7)*B23</f>
        <v>-10</v>
      </c>
      <c r="AA50" s="105">
        <f>0.000001*$F$11*'Chemical Properties'!N7</f>
        <v>3.0096357698745028E-7</v>
      </c>
      <c r="AB50" s="88"/>
    </row>
    <row r="51" spans="8:28">
      <c r="M51" s="62" t="s">
        <v>9</v>
      </c>
      <c r="N51" s="105">
        <f>$F$3/($F$4*IF(ABS('Chemical Properties'!F45)&gt;0,'Chemical Properties'!F45,'Chemical Properties'!F8))</f>
        <v>1190.6666666666667</v>
      </c>
      <c r="O51" s="105">
        <f>$F$6/($F$7*IF(ABS('Chemical Properties'!G45)&gt;0,'Chemical Properties'!G45,'Chemical Properties'!G8))</f>
        <v>2.5564971751412435</v>
      </c>
      <c r="P51" s="105">
        <f>IF($N$43&lt;3.25,0.00000278*(IF(ABS('Chemical Properties'!F45)&gt;0,'Chemical Properties'!F45,'Chemical Properties'!F8)/$F$12)^(2/3),IF($N$80&lt;14,IF($N$82&lt;0.3,0.000001+0.0144*$N$82^2.2*N51^(-0.5),0.000001+0.00341*$N$82*N51^(-0.5)),IF($N$80&lt;=51.2,(0.000000002605*$N$80+0.0000001277)*$N$43^2*(IF(ABS('Chemical Properties'!F45)&gt;0,'Chemical Properties'!F45,'Chemical Properties'!F8)/$F$12)^(2/3),0.000000261*$N$43^2*(IF(ABS('Chemical Properties'!F45)&gt;0,'Chemical Properties'!F45,'Chemical Properties'!F8)/$F$12)^(2/3))))</f>
        <v>5.9697709030486409E-6</v>
      </c>
      <c r="Q51" s="71">
        <f>($N$83*((IF(ABS('Chemical Properties'!F45)&gt;0,'Chemical Properties'!F45,'Chemical Properties'!F8))/0.0000693)^(0.5))/$N$84</f>
        <v>5.2349135485788892E-5</v>
      </c>
      <c r="R51" s="105">
        <f t="shared" si="3"/>
        <v>5.5148650549823814E-3</v>
      </c>
      <c r="S51" s="72">
        <f t="shared" si="5"/>
        <v>1.5704740645736668E-4</v>
      </c>
      <c r="T51" s="105">
        <f t="shared" si="6"/>
        <v>2.9256589990405071E-6</v>
      </c>
      <c r="U51" s="105">
        <f t="shared" si="7"/>
        <v>5.6593030994180536E-6</v>
      </c>
      <c r="V51" s="105">
        <f>IF(ABS('Chemical Properties'!E45)&gt;0,'Chemical Properties'!E45,'Chemical Properties'!E8)/($F$5*($B$5+273.15))</f>
        <v>1.9731911546293494E-2</v>
      </c>
      <c r="W51" s="105">
        <f t="shared" si="8"/>
        <v>4.5435299972231373E-6</v>
      </c>
      <c r="X51" s="105">
        <f t="shared" si="4"/>
        <v>1.103116449448573</v>
      </c>
      <c r="Y51" s="105">
        <f>((IF(ABS('Chemical Properties'!J45)&gt;0,'Chemical Properties'!J45,'Chemical Properties'!J8)/$B$7)*(W51*$B$4+$N$78*V51+$B$12*AA51*$B$15+($B$7-$B$12))+((IF(ABS('Chemical Properties'!I45)&gt;0,'Chemical Properties'!I45,'Chemical Properties'!I8)*$B$9*$B$4*$B$8)/$B$7)-B24)</f>
        <v>349.33289727474761</v>
      </c>
      <c r="Z51" s="105">
        <f>-IF(ABS('Chemical Properties'!J45)&gt;0,'Chemical Properties'!J45,'Chemical Properties'!J8)*B24</f>
        <v>-42.47</v>
      </c>
      <c r="AA51" s="105">
        <f>0.000001*$F$11*'Chemical Properties'!N8</f>
        <v>3.6183780472725152E-4</v>
      </c>
      <c r="AB51" s="88"/>
    </row>
    <row r="52" spans="8:28">
      <c r="M52" s="63" t="s">
        <v>7</v>
      </c>
      <c r="N52" s="105">
        <f>$F$3/($F$4*IF(ABS('Chemical Properties'!F46)&gt;0,'Chemical Properties'!F46,'Chemical Properties'!F9))</f>
        <v>1257.7464788732395</v>
      </c>
      <c r="O52" s="105">
        <f>$F$6/($F$7*IF(ABS('Chemical Properties'!G46)&gt;0,'Chemical Properties'!G46,'Chemical Properties'!G9))</f>
        <v>1.7538759689922483</v>
      </c>
      <c r="P52" s="105">
        <f>IF($N$43&lt;3.25,0.00000278*(IF(ABS('Chemical Properties'!F46)&gt;0,'Chemical Properties'!F46,'Chemical Properties'!F9)/$F$12)^(2/3),IF($N$80&lt;14,IF($N$82&lt;0.3,0.000001+0.0144*$N$82^2.2*N52^(-0.5),0.000001+0.00341*$N$82*N52^(-0.5)),IF($N$80&lt;=51.2,(0.000000002605*$N$80+0.0000001277)*$N$43^2*(IF(ABS('Chemical Properties'!F46)&gt;0,'Chemical Properties'!F46,'Chemical Properties'!F9)/$F$12)^(2/3),0.000000261*$N$43^2*(IF(ABS('Chemical Properties'!F46)&gt;0,'Chemical Properties'!F46,'Chemical Properties'!F9)/$F$12)^(2/3))))</f>
        <v>5.8354278967415931E-6</v>
      </c>
      <c r="Q52" s="71">
        <f>($N$83*((IF(ABS('Chemical Properties'!F46)&gt;0,'Chemical Properties'!F46,'Chemical Properties'!F9))/0.0000693)^(0.5))/$N$84</f>
        <v>5.0934031977813962E-5</v>
      </c>
      <c r="R52" s="105">
        <f t="shared" si="3"/>
        <v>7.098686626509941E-3</v>
      </c>
      <c r="S52" s="72">
        <f t="shared" si="5"/>
        <v>1.5280209593344189E-4</v>
      </c>
      <c r="T52" s="105">
        <f t="shared" si="6"/>
        <v>3.2673875086156834E-5</v>
      </c>
      <c r="U52" s="105">
        <f t="shared" si="7"/>
        <v>5.8273964389385035E-6</v>
      </c>
      <c r="V52" s="105">
        <f>IF(ABS('Chemical Properties'!E46)&gt;0,'Chemical Properties'!E46,'Chemical Properties'!E9)/($F$5*($B$5+273.15))</f>
        <v>0.59645115647181168</v>
      </c>
      <c r="W52" s="105">
        <f t="shared" si="8"/>
        <v>1.6785142825558231E-5</v>
      </c>
      <c r="X52" s="105">
        <f t="shared" si="4"/>
        <v>3.7679725081370758</v>
      </c>
      <c r="Y52" s="105">
        <f>((IF(ABS('Chemical Properties'!J46)&gt;0,'Chemical Properties'!J46,'Chemical Properties'!J9)/$B$7)*(W52*$B$4+$N$78*V52+$B$12*AA52*$B$15+($B$7-$B$12))+((IF(ABS('Chemical Properties'!I46)&gt;0,'Chemical Properties'!I46,'Chemical Properties'!I9)*$B$9*$B$4*$B$8)/$B$7)-B25)</f>
        <v>261.91685644643712</v>
      </c>
      <c r="Z52" s="105">
        <f>-IF(ABS('Chemical Properties'!J46)&gt;0,'Chemical Properties'!J46,'Chemical Properties'!J9)*B25</f>
        <v>-10.796639224919337</v>
      </c>
      <c r="AA52" s="105">
        <f>0.000001*$F$11*'Chemical Properties'!N9</f>
        <v>6.0050128334129512E-4</v>
      </c>
      <c r="AB52" s="88"/>
    </row>
    <row r="53" spans="8:28">
      <c r="M53" s="62" t="s">
        <v>8</v>
      </c>
      <c r="N53" s="105">
        <f>$F$3/($F$4*IF(ABS('Chemical Properties'!F47)&gt;0,'Chemical Properties'!F47,'Chemical Properties'!F10))</f>
        <v>1144.8717948717949</v>
      </c>
      <c r="O53" s="105">
        <f>$F$6/($F$7*IF(ABS('Chemical Properties'!G47)&gt;0,'Chemical Properties'!G47,'Chemical Properties'!G10))</f>
        <v>2.0111111111111115</v>
      </c>
      <c r="P53" s="105">
        <f>IF($N$43&lt;3.25,0.00000278*(IF(ABS('Chemical Properties'!F47)&gt;0,'Chemical Properties'!F47,'Chemical Properties'!F10)/$F$12)^(2/3),IF($N$80&lt;14,IF($N$82&lt;0.3,0.000001+0.0144*$N$82^2.2*N53^(-0.5),0.000001+0.00341*$N$82*N53^(-0.5)),IF($N$80&lt;=51.2,(0.000000002605*$N$80+0.0000001277)*$N$43^2*(IF(ABS('Chemical Properties'!F47)&gt;0,'Chemical Properties'!F47,'Chemical Properties'!F10)/$F$12)^(2/3),0.000000261*$N$43^2*(IF(ABS('Chemical Properties'!F47)&gt;0,'Chemical Properties'!F47,'Chemical Properties'!F10)/$F$12)^(2/3))))</f>
        <v>6.0681917625461314E-6</v>
      </c>
      <c r="Q53" s="71">
        <f>($N$83*((IF(ABS('Chemical Properties'!F47)&gt;0,'Chemical Properties'!F47,'Chemical Properties'!F10))/0.0000693)^(0.5))/$N$84</f>
        <v>5.3385852672350002E-5</v>
      </c>
      <c r="R53" s="105">
        <f t="shared" si="3"/>
        <v>6.4767195010191E-3</v>
      </c>
      <c r="S53" s="72">
        <f t="shared" si="5"/>
        <v>1.6015755801705001E-4</v>
      </c>
      <c r="T53" s="105">
        <f t="shared" si="6"/>
        <v>2.6227992455114965E-5</v>
      </c>
      <c r="U53" s="105">
        <f t="shared" si="7"/>
        <v>6.0505820156715233E-6</v>
      </c>
      <c r="V53" s="105">
        <f>IF(ABS('Chemical Properties'!E47)&gt;0,'Chemical Properties'!E47,'Chemical Properties'!E10)/($F$5*($B$5+273.15))</f>
        <v>0.32192021321903264</v>
      </c>
      <c r="W53" s="105">
        <f t="shared" si="8"/>
        <v>1.42862597460566E-5</v>
      </c>
      <c r="X53" s="105">
        <f t="shared" si="4"/>
        <v>2.4970674409628613</v>
      </c>
      <c r="Y53" s="105">
        <f>((IF(ABS('Chemical Properties'!J47)&gt;0,'Chemical Properties'!J47,'Chemical Properties'!J10)/$B$7)*(W53*$B$4+$N$78*V53+$B$12*AA53*$B$15+($B$7-$B$12))+((IF(ABS('Chemical Properties'!I47)&gt;0,'Chemical Properties'!I47,'Chemical Properties'!I10)*$B$9*$B$4*$B$8)/$B$7)-B26)</f>
        <v>55.677408856451173</v>
      </c>
      <c r="Z53" s="105">
        <f>-IF(ABS('Chemical Properties'!J47)&gt;0,'Chemical Properties'!J47,'Chemical Properties'!J10)*B26</f>
        <v>-3.2380952380952377</v>
      </c>
      <c r="AA53" s="105">
        <f>0.000001*$F$11*'Chemical Properties'!N10</f>
        <v>2.1802883784250701E-4</v>
      </c>
      <c r="AB53" s="88"/>
    </row>
    <row r="54" spans="8:28">
      <c r="M54" s="62" t="s">
        <v>11</v>
      </c>
      <c r="N54" s="105">
        <f>$F$3/($F$4*IF(ABS('Chemical Properties'!F48)&gt;0,'Chemical Properties'!F48,'Chemical Properties'!F11))</f>
        <v>1116.25</v>
      </c>
      <c r="O54" s="105">
        <f>$F$6/($F$7*IF(ABS('Chemical Properties'!G48)&gt;0,'Chemical Properties'!G48,'Chemical Properties'!G11))</f>
        <v>2.1244131455399065</v>
      </c>
      <c r="P54" s="105">
        <f>IF($N$43&lt;3.25,0.00000278*(IF(ABS('Chemical Properties'!F48)&gt;0,'Chemical Properties'!F48,'Chemical Properties'!F11)/$F$12)^(2/3),IF($N$80&lt;14,IF($N$82&lt;0.3,0.000001+0.0144*$N$82^2.2*N54^(-0.5),0.000001+0.00341*$N$82*N54^(-0.5)),IF($N$80&lt;=51.2,(0.000000002605*$N$80+0.0000001277)*$N$43^2*(IF(ABS('Chemical Properties'!F48)&gt;0,'Chemical Properties'!F48,'Chemical Properties'!F11)/$F$12)^(2/3),0.000000261*$N$43^2*(IF(ABS('Chemical Properties'!F48)&gt;0,'Chemical Properties'!F48,'Chemical Properties'!F11)/$F$12)^(2/3))))</f>
        <v>6.1327573178596216E-6</v>
      </c>
      <c r="Q54" s="71">
        <f>($N$83*((IF(ABS('Chemical Properties'!F48)&gt;0,'Chemical Properties'!F48,'Chemical Properties'!F11))/0.0000693)^(0.5))/$N$84</f>
        <v>5.4065954646617608E-5</v>
      </c>
      <c r="R54" s="105">
        <f t="shared" si="3"/>
        <v>6.2431983919731052E-3</v>
      </c>
      <c r="S54" s="72">
        <f t="shared" si="5"/>
        <v>1.6219786393985281E-4</v>
      </c>
      <c r="T54" s="105">
        <f t="shared" si="6"/>
        <v>1.3628775315492357E-5</v>
      </c>
      <c r="U54" s="105">
        <f t="shared" si="7"/>
        <v>6.0795992880999763E-6</v>
      </c>
      <c r="V54" s="105">
        <f>IF(ABS('Chemical Properties'!E48)&gt;0,'Chemical Properties'!E48,'Chemical Properties'!E11)/($F$5*($B$5+273.15))</f>
        <v>0.11234525207517</v>
      </c>
      <c r="W54" s="105">
        <f t="shared" si="8"/>
        <v>9.1608956258111521E-6</v>
      </c>
      <c r="X54" s="105">
        <f t="shared" si="4"/>
        <v>1.5280022206575279</v>
      </c>
      <c r="Y54" s="105">
        <f>((IF(ABS('Chemical Properties'!J48)&gt;0,'Chemical Properties'!J48,'Chemical Properties'!J11)/$B$7)*(W54*$B$4+$N$78*V54+$B$12*AA54*$B$15+($B$7-$B$12))+((IF(ABS('Chemical Properties'!I48)&gt;0,'Chemical Properties'!I48,'Chemical Properties'!I11)*$B$9*$B$4*$B$8)/$B$7)-B27)</f>
        <v>654.24331723438593</v>
      </c>
      <c r="Z54" s="105">
        <f>-IF(ABS('Chemical Properties'!J48)&gt;0,'Chemical Properties'!J48,'Chemical Properties'!J11)*B27</f>
        <v>0</v>
      </c>
      <c r="AA54" s="105">
        <f>0.000001*$F$11*'Chemical Properties'!N11</f>
        <v>1.3756689654521078E-4</v>
      </c>
      <c r="AB54" s="88"/>
    </row>
    <row r="55" spans="8:28">
      <c r="M55" s="63" t="s">
        <v>70</v>
      </c>
      <c r="N55" s="105">
        <f>$F$3/($F$4*IF(ABS('Chemical Properties'!F49)&gt;0,'Chemical Properties'!F49,'Chemical Properties'!F12))</f>
        <v>826.85185185185185</v>
      </c>
      <c r="O55" s="105">
        <f>$F$6/($F$7*IF(ABS('Chemical Properties'!G49)&gt;0,'Chemical Properties'!G49,'Chemical Properties'!G12))</f>
        <v>0.60575635876840694</v>
      </c>
      <c r="P55" s="105">
        <f>IF($N$43&lt;3.25,0.00000278*(IF(ABS('Chemical Properties'!F49)&gt;0,'Chemical Properties'!F49,'Chemical Properties'!F12)/$F$12)^(2/3),IF($N$80&lt;14,IF($N$82&lt;0.3,0.000001+0.0144*$N$82^2.2*N55^(-0.5),0.000001+0.00341*$N$82*N55^(-0.5)),IF($N$80&lt;=51.2,(0.000000002605*$N$80+0.0000001277)*$N$43^2*(IF(ABS('Chemical Properties'!F49)&gt;0,'Chemical Properties'!F49,'Chemical Properties'!F12)/$F$12)^(2/3),0.000000261*$N$43^2*(IF(ABS('Chemical Properties'!F49)&gt;0,'Chemical Properties'!F49,'Chemical Properties'!F12)/$F$12)^(2/3))))</f>
        <v>6.9637250836583694E-6</v>
      </c>
      <c r="Q55" s="71">
        <f>($N$83*((IF(ABS('Chemical Properties'!F49)&gt;0,'Chemical Properties'!F49,'Chemical Properties'!F12))/0.0000693)^(0.5))/$N$84</f>
        <v>6.2818962582946654E-5</v>
      </c>
      <c r="R55" s="105">
        <f t="shared" si="3"/>
        <v>1.4471635148152844E-2</v>
      </c>
      <c r="S55" s="72">
        <f t="shared" si="5"/>
        <v>1.8845688774883997E-4</v>
      </c>
      <c r="T55" s="105">
        <f t="shared" si="6"/>
        <v>5.6549794254226967E-5</v>
      </c>
      <c r="U55" s="105">
        <f t="shared" si="7"/>
        <v>6.9626107986473412E-6</v>
      </c>
      <c r="V55" s="105">
        <f>IF(ABS('Chemical Properties'!E49)&gt;0,'Chemical Properties'!E49,'Chemical Properties'!E12)/($F$5*($B$5+273.15))</f>
        <v>3.0067674737209136</v>
      </c>
      <c r="W55" s="105">
        <f t="shared" si="8"/>
        <v>2.7202277515210452E-5</v>
      </c>
      <c r="X55" s="105">
        <f t="shared" si="4"/>
        <v>14.817467390629291</v>
      </c>
      <c r="Y55" s="105">
        <f>((IF(ABS('Chemical Properties'!J49)&gt;0,'Chemical Properties'!J49,'Chemical Properties'!J12)/$B$7)*(W55*$B$4+$N$78*V55+$B$12*AA55*$B$15+($B$7-$B$12))+((IF(ABS('Chemical Properties'!I49)&gt;0,'Chemical Properties'!I49,'Chemical Properties'!I12)*$B$9*$B$4*$B$8)/$B$7)-B28)</f>
        <v>435.99739372451199</v>
      </c>
      <c r="Z55" s="105">
        <f>-IF(ABS('Chemical Properties'!J49)&gt;0,'Chemical Properties'!J49,'Chemical Properties'!J12)*B28</f>
        <v>0</v>
      </c>
      <c r="AA55" s="105">
        <f>0.000001*$F$11*'Chemical Properties'!N12</f>
        <v>1.5435259662477542E-5</v>
      </c>
      <c r="AB55" s="88"/>
    </row>
    <row r="56" spans="8:28">
      <c r="M56" s="63" t="s">
        <v>16</v>
      </c>
      <c r="N56" s="105">
        <f>$F$3/($F$4*IF(ABS('Chemical Properties'!F50)&gt;0,'Chemical Properties'!F50,'Chemical Properties'!F13))</f>
        <v>633.33333333333337</v>
      </c>
      <c r="O56" s="105">
        <f>$F$6/($F$7*IF(ABS('Chemical Properties'!G50)&gt;0,'Chemical Properties'!G50,'Chemical Properties'!G13))</f>
        <v>0.98829984034316398</v>
      </c>
      <c r="P56" s="105">
        <f>IF($N$43&lt;3.25,0.00000278*(IF(ABS('Chemical Properties'!F50)&gt;0,'Chemical Properties'!F50,'Chemical Properties'!F13)/$F$12)^(2/3),IF($N$80&lt;14,IF($N$82&lt;0.3,0.000001+0.0144*$N$82^2.2*N56^(-0.5),0.000001+0.00341*$N$82*N56^(-0.5)),IF($N$80&lt;=51.2,(0.000000002605*$N$80+0.0000001277)*$N$43^2*(IF(ABS('Chemical Properties'!F50)&gt;0,'Chemical Properties'!F50,'Chemical Properties'!F13)/$F$12)^(2/3),0.000000261*$N$43^2*(IF(ABS('Chemical Properties'!F50)&gt;0,'Chemical Properties'!F50,'Chemical Properties'!F13)/$F$12)^(2/3))))</f>
        <v>7.8142065508849333E-6</v>
      </c>
      <c r="Q56" s="71">
        <f>($N$83*((IF(ABS('Chemical Properties'!F50)&gt;0,'Chemical Properties'!F50,'Chemical Properties'!F13))/0.0000693)^(0.5))/$N$84</f>
        <v>7.1777518304033224E-5</v>
      </c>
      <c r="R56" s="105">
        <f t="shared" si="3"/>
        <v>1.0425137858235765E-2</v>
      </c>
      <c r="S56" s="72">
        <f t="shared" si="5"/>
        <v>2.1533255491209966E-4</v>
      </c>
      <c r="T56" s="105">
        <f t="shared" si="6"/>
        <v>1.5834650230207742E-11</v>
      </c>
      <c r="U56" s="105">
        <f t="shared" si="7"/>
        <v>7.6654574811375337E-10</v>
      </c>
      <c r="V56" s="105">
        <f>IF(ABS('Chemical Properties'!E50)&gt;0,'Chemical Properties'!E50,'Chemical Properties'!E13)/($F$5*($B$5+273.15))</f>
        <v>7.3535809436306684E-8</v>
      </c>
      <c r="W56" s="105">
        <f t="shared" si="8"/>
        <v>4.6013305510006125E-10</v>
      </c>
      <c r="X56" s="105">
        <f t="shared" si="4"/>
        <v>0.9984009353807205</v>
      </c>
      <c r="Y56" s="105">
        <f>((IF(ABS('Chemical Properties'!J50)&gt;0,'Chemical Properties'!J50,'Chemical Properties'!J13)/$B$7)*(W56*$B$4+$N$78*V56+$B$12*AA56*$B$15+($B$7-$B$12))+((IF(ABS('Chemical Properties'!I50)&gt;0,'Chemical Properties'!I50,'Chemical Properties'!I13)*$B$9*$B$4*$B$8)/$B$7)-B29)</f>
        <v>414.78645091230112</v>
      </c>
      <c r="Z56" s="105">
        <f>-IF(ABS('Chemical Properties'!J50)&gt;0,'Chemical Properties'!J50,'Chemical Properties'!J13)*B29</f>
        <v>0</v>
      </c>
      <c r="AA56" s="105">
        <f>0.000001*$F$11*'Chemical Properties'!N13</f>
        <v>1.4405022463925467E-9</v>
      </c>
      <c r="AB56" s="88"/>
    </row>
    <row r="57" spans="8:28">
      <c r="M57" s="60" t="s">
        <v>71</v>
      </c>
      <c r="N57" s="105">
        <f>$F$3/($F$4*IF(ABS('Chemical Properties'!F51)&gt;0,'Chemical Properties'!F51,'Chemical Properties'!F14))</f>
        <v>1144.8717948717949</v>
      </c>
      <c r="O57" s="105">
        <f>$F$6/($F$7*IF(ABS('Chemical Properties'!G51)&gt;0,'Chemical Properties'!G51,'Chemical Properties'!G14))</f>
        <v>2.0111111111111115</v>
      </c>
      <c r="P57" s="105">
        <f>IF($N$43&lt;3.25,0.00000278*(IF(ABS('Chemical Properties'!F51)&gt;0,'Chemical Properties'!F51,'Chemical Properties'!F14)/$F$12)^(2/3),IF($N$80&lt;14,IF($N$82&lt;0.3,0.000001+0.0144*$N$82^2.2*N57^(-0.5),0.000001+0.00341*$N$82*N57^(-0.5)),IF($N$80&lt;=51.2,(0.000000002605*$N$80+0.0000001277)*$N$43^2*(IF(ABS('Chemical Properties'!F51)&gt;0,'Chemical Properties'!F51,'Chemical Properties'!F14)/$F$12)^(2/3),0.000000261*$N$43^2*(IF(ABS('Chemical Properties'!F51)&gt;0,'Chemical Properties'!F51,'Chemical Properties'!F14)/$F$12)^(2/3))))</f>
        <v>6.0681917625461314E-6</v>
      </c>
      <c r="Q57" s="71">
        <f>($N$83*((IF(ABS('Chemical Properties'!F51)&gt;0,'Chemical Properties'!F51,'Chemical Properties'!F14))/0.0000693)^(0.5))/$N$84</f>
        <v>5.3385852672350002E-5</v>
      </c>
      <c r="R57" s="105">
        <f t="shared" si="3"/>
        <v>6.4767195010191E-3</v>
      </c>
      <c r="S57" s="72">
        <f t="shared" si="5"/>
        <v>1.6015755801705001E-4</v>
      </c>
      <c r="T57" s="105">
        <f t="shared" si="6"/>
        <v>8.8810467616313393E-7</v>
      </c>
      <c r="U57" s="105">
        <f t="shared" si="7"/>
        <v>5.2036088921108615E-6</v>
      </c>
      <c r="V57" s="105">
        <f>IF(ABS('Chemical Properties'!E51)&gt;0,'Chemical Properties'!E51,'Chemical Properties'!E14)/($F$5*($B$5+273.15))</f>
        <v>5.6390017353864438E-3</v>
      </c>
      <c r="W57" s="105">
        <f t="shared" si="8"/>
        <v>3.4421785998872994E-6</v>
      </c>
      <c r="X57" s="105">
        <f t="shared" si="4"/>
        <v>1.0285289756408122</v>
      </c>
      <c r="Y57" s="105">
        <f>((IF(ABS('Chemical Properties'!J51)&gt;0,'Chemical Properties'!J51,'Chemical Properties'!J14)/$B$7)*(W57*$B$4+$N$78*V57+$B$12*AA57*$B$15+($B$7-$B$12))+((IF(ABS('Chemical Properties'!I51)&gt;0,'Chemical Properties'!I51,'Chemical Properties'!I14)*$B$9*$B$4*$B$8)/$B$7)-B30)</f>
        <v>6.9733479520487895</v>
      </c>
      <c r="Z57" s="105">
        <f>-IF(ABS('Chemical Properties'!J51)&gt;0,'Chemical Properties'!J51,'Chemical Properties'!J14)*B30</f>
        <v>0</v>
      </c>
      <c r="AA57" s="105">
        <f>0.000001*$F$11*'Chemical Properties'!N14</f>
        <v>2.4463237962930282E-6</v>
      </c>
      <c r="AB57" s="88"/>
    </row>
    <row r="58" spans="8:28">
      <c r="M58" s="62" t="s">
        <v>12</v>
      </c>
      <c r="N58" s="105">
        <f>$F$3/($F$4*IF(ABS('Chemical Properties'!F52)&gt;0,'Chemical Properties'!F52,'Chemical Properties'!F15))</f>
        <v>1038.3720930232557</v>
      </c>
      <c r="O58" s="105">
        <f>$F$6/($F$7*IF(ABS('Chemical Properties'!G52)&gt;0,'Chemical Properties'!G52,'Chemical Properties'!G15))</f>
        <v>1.7337164750957856</v>
      </c>
      <c r="P58" s="105">
        <f>IF($N$43&lt;3.25,0.00000278*(IF(ABS('Chemical Properties'!F52)&gt;0,'Chemical Properties'!F52,'Chemical Properties'!F15)/$F$12)^(2/3),IF($N$80&lt;14,IF($N$82&lt;0.3,0.000001+0.0144*$N$82^2.2*N58^(-0.5),0.000001+0.00341*$N$82*N58^(-0.5)),IF($N$80&lt;=51.2,(0.000000002605*$N$80+0.0000001277)*$N$43^2*(IF(ABS('Chemical Properties'!F52)&gt;0,'Chemical Properties'!F52,'Chemical Properties'!F15)/$F$12)^(2/3),0.000000261*$N$43^2*(IF(ABS('Chemical Properties'!F52)&gt;0,'Chemical Properties'!F52,'Chemical Properties'!F15)/$F$12)^(2/3))))</f>
        <v>6.3217560551329873E-6</v>
      </c>
      <c r="Q58" s="71">
        <f>($N$83*((IF(ABS('Chemical Properties'!F52)&gt;0,'Chemical Properties'!F52,'Chemical Properties'!F15))/0.0000693)^(0.5))/$N$84</f>
        <v>5.6056774887063125E-5</v>
      </c>
      <c r="R58" s="105">
        <f t="shared" si="3"/>
        <v>7.1538847852294666E-3</v>
      </c>
      <c r="S58" s="72">
        <f t="shared" si="5"/>
        <v>1.6817032466118938E-4</v>
      </c>
      <c r="T58" s="105">
        <f t="shared" si="6"/>
        <v>2.5150864079483947E-5</v>
      </c>
      <c r="U58" s="105">
        <f t="shared" si="7"/>
        <v>6.3012287975369427E-6</v>
      </c>
      <c r="V58" s="105">
        <f>IF(ABS('Chemical Properties'!E52)&gt;0,'Chemical Properties'!E52,'Chemical Properties'!E15)/($F$5*($B$5+273.15))</f>
        <v>0.27126271773786503</v>
      </c>
      <c r="W58" s="105">
        <f t="shared" si="8"/>
        <v>1.3994957484045924E-5</v>
      </c>
      <c r="X58" s="105">
        <f t="shared" si="4"/>
        <v>2.2613560128507366</v>
      </c>
      <c r="Y58" s="105">
        <f>((IF(ABS('Chemical Properties'!J52)&gt;0,'Chemical Properties'!J52,'Chemical Properties'!J15)/$B$7)*(W58*$B$4+$N$78*V58+$B$12*AA58*$B$15+($B$7-$B$12))+((IF(ABS('Chemical Properties'!I52)&gt;0,'Chemical Properties'!I52,'Chemical Properties'!I15)*$B$9*$B$4*$B$8)/$B$7)-B31)</f>
        <v>594.31101659344677</v>
      </c>
      <c r="Z58" s="105">
        <f>-IF(ABS('Chemical Properties'!J52)&gt;0,'Chemical Properties'!J52,'Chemical Properties'!J15)*B31</f>
        <v>0</v>
      </c>
      <c r="AA58" s="105">
        <f>0.000001*$F$11*'Chemical Properties'!N15</f>
        <v>8.8820648529588301E-5</v>
      </c>
      <c r="AB58" s="88"/>
    </row>
    <row r="59" spans="8:28">
      <c r="M59" s="62" t="s">
        <v>10</v>
      </c>
      <c r="N59" s="105">
        <f>$F$3/($F$4*IF(ABS('Chemical Properties'!F53)&gt;0,'Chemical Properties'!F53,'Chemical Properties'!F16))</f>
        <v>981.31868131868146</v>
      </c>
      <c r="O59" s="105">
        <f>$F$6/($F$7*IF(ABS('Chemical Properties'!G53)&gt;0,'Chemical Properties'!G53,'Chemical Properties'!G16))</f>
        <v>1.8394308943089432</v>
      </c>
      <c r="P59" s="105">
        <f>IF($N$43&lt;3.25,0.00000278*(IF(ABS('Chemical Properties'!F53)&gt;0,'Chemical Properties'!F53,'Chemical Properties'!F16)/$F$12)^(2/3),IF($N$80&lt;14,IF($N$82&lt;0.3,0.000001+0.0144*$N$82^2.2*N59^(-0.5),0.000001+0.00341*$N$82*N59^(-0.5)),IF($N$80&lt;=51.2,(0.000000002605*$N$80+0.0000001277)*$N$43^2*(IF(ABS('Chemical Properties'!F53)&gt;0,'Chemical Properties'!F53,'Chemical Properties'!F16)/$F$12)^(2/3),0.000000261*$N$43^2*(IF(ABS('Chemical Properties'!F53)&gt;0,'Chemical Properties'!F53,'Chemical Properties'!F16)/$F$12)^(2/3))))</f>
        <v>6.4742727704780299E-6</v>
      </c>
      <c r="Q59" s="71">
        <f>($N$83*((IF(ABS('Chemical Properties'!F53)&gt;0,'Chemical Properties'!F53,'Chemical Properties'!F16))/0.0000693)^(0.5))/$N$84</f>
        <v>5.7663311355484126E-5</v>
      </c>
      <c r="R59" s="105">
        <f t="shared" si="3"/>
        <v>6.8757380597184474E-3</v>
      </c>
      <c r="S59" s="72">
        <f t="shared" si="5"/>
        <v>1.7298993406645238E-4</v>
      </c>
      <c r="T59" s="105">
        <f t="shared" si="6"/>
        <v>2.8055126981288445E-9</v>
      </c>
      <c r="U59" s="105">
        <f t="shared" si="7"/>
        <v>1.0962639809597012E-7</v>
      </c>
      <c r="V59" s="105">
        <f>IF(ABS('Chemical Properties'!E53)&gt;0,'Chemical Properties'!E53,'Chemical Properties'!E16)/($F$5*($B$5+273.15))</f>
        <v>1.621856911776091E-5</v>
      </c>
      <c r="W59" s="105">
        <f t="shared" si="8"/>
        <v>6.602603670909613E-8</v>
      </c>
      <c r="X59" s="105">
        <f t="shared" si="4"/>
        <v>0.99866971933268278</v>
      </c>
      <c r="Y59" s="105">
        <f>((IF(ABS('Chemical Properties'!J53)&gt;0,'Chemical Properties'!J53,'Chemical Properties'!J16)/$B$7)*(W59*$B$4+$N$78*V59+$B$12*AA59*$B$15+($B$7-$B$12))+((IF(ABS('Chemical Properties'!I53)&gt;0,'Chemical Properties'!I53,'Chemical Properties'!I16)*$B$9*$B$4*$B$8)/$B$7)-B32)</f>
        <v>700.59744585450801</v>
      </c>
      <c r="Z59" s="105">
        <f>-IF(ABS('Chemical Properties'!J53)&gt;0,'Chemical Properties'!J53,'Chemical Properties'!J16)*B32</f>
        <v>0</v>
      </c>
      <c r="AA59" s="105">
        <f>0.000001*$F$11*'Chemical Properties'!N16</f>
        <v>4.7699512434615613E-6</v>
      </c>
      <c r="AB59" s="88"/>
    </row>
    <row r="60" spans="8:28">
      <c r="M60" s="63" t="s">
        <v>72</v>
      </c>
      <c r="N60" s="105">
        <f>$F$3/($F$4*IF(ABS('Chemical Properties'!F54)&gt;0,'Chemical Properties'!F54,'Chemical Properties'!F17))</f>
        <v>1149.2921492921494</v>
      </c>
      <c r="O60" s="105">
        <f>$F$6/($F$7*IF(ABS('Chemical Properties'!G54)&gt;0,'Chemical Properties'!G54,'Chemical Properties'!G17))</f>
        <v>0.75416666666666676</v>
      </c>
      <c r="P60" s="105">
        <f>IF($N$43&lt;3.25,0.00000278*(IF(ABS('Chemical Properties'!F54)&gt;0,'Chemical Properties'!F54,'Chemical Properties'!F17)/$F$12)^(2/3),IF($N$80&lt;14,IF($N$82&lt;0.3,0.000001+0.0144*$N$82^2.2*N60^(-0.5),0.000001+0.00341*$N$82*N60^(-0.5)),IF($N$80&lt;=51.2,(0.000000002605*$N$80+0.0000001277)*$N$43^2*(IF(ABS('Chemical Properties'!F54)&gt;0,'Chemical Properties'!F54,'Chemical Properties'!F17)/$F$12)^(2/3),0.000000261*$N$43^2*(IF(ABS('Chemical Properties'!F54)&gt;0,'Chemical Properties'!F54,'Chemical Properties'!F17)/$F$12)^(2/3))))</f>
        <v>6.058435850203629E-6</v>
      </c>
      <c r="Q60" s="71">
        <f>($N$83*((IF(ABS('Chemical Properties'!F54)&gt;0,'Chemical Properties'!F54,'Chemical Properties'!F17))/0.0000693)^(0.5))/$N$84</f>
        <v>5.3283088664316589E-5</v>
      </c>
      <c r="R60" s="105">
        <f t="shared" si="3"/>
        <v>1.2495514399308837E-2</v>
      </c>
      <c r="S60" s="72">
        <f t="shared" si="5"/>
        <v>1.5984926599294977E-4</v>
      </c>
      <c r="T60" s="105">
        <f t="shared" si="6"/>
        <v>4.9942902564820744E-5</v>
      </c>
      <c r="U60" s="105">
        <f t="shared" si="7"/>
        <v>6.0578465415994367E-6</v>
      </c>
      <c r="V60" s="105">
        <f>IF(ABS('Chemical Properties'!E54)&gt;0,'Chemical Properties'!E54,'Chemical Properties'!E17)/($F$5*($B$5+273.15))</f>
        <v>4.9840439102439058</v>
      </c>
      <c r="W60" s="105">
        <f t="shared" si="8"/>
        <v>2.3970114306179562E-5</v>
      </c>
      <c r="X60" s="105">
        <f t="shared" si="4"/>
        <v>23.916426964557587</v>
      </c>
      <c r="Y60" s="105">
        <f>((IF(ABS('Chemical Properties'!J54)&gt;0,'Chemical Properties'!J54,'Chemical Properties'!J17)/$B$7)*(W60*$B$4+$N$78*V60+$B$12*AA60*$B$15+($B$7-$B$12))+((IF(ABS('Chemical Properties'!I54)&gt;0,'Chemical Properties'!I54,'Chemical Properties'!I17)*$B$9*$B$4*$B$8)/$B$7)-B33)</f>
        <v>358.53263476638892</v>
      </c>
      <c r="Z60" s="105">
        <f>-IF(ABS('Chemical Properties'!J54)&gt;0,'Chemical Properties'!J54,'Chemical Properties'!J17)*B33</f>
        <v>0</v>
      </c>
      <c r="AA60" s="105">
        <f>0.000001*$F$11*'Chemical Properties'!N17</f>
        <v>1.579479304664707E-3</v>
      </c>
      <c r="AB60" s="88"/>
    </row>
    <row r="61" spans="8:28">
      <c r="M61" s="63" t="s">
        <v>73</v>
      </c>
      <c r="N61" s="105">
        <f>$F$3/($F$4*IF(ABS('Chemical Properties'!F55)&gt;0,'Chemical Properties'!F55,'Chemical Properties'!F18))</f>
        <v>960.21505376344078</v>
      </c>
      <c r="O61" s="105">
        <f>$F$6/($F$7*IF(ABS('Chemical Properties'!G55)&gt;0,'Chemical Properties'!G55,'Chemical Properties'!G18))</f>
        <v>2.1733909702209413</v>
      </c>
      <c r="P61" s="105">
        <f>IF($N$43&lt;3.25,0.00000278*(IF(ABS('Chemical Properties'!F55)&gt;0,'Chemical Properties'!F55,'Chemical Properties'!F18)/$F$12)^(2/3),IF($N$80&lt;14,IF($N$82&lt;0.3,0.000001+0.0144*$N$82^2.2*N61^(-0.5),0.000001+0.00341*$N$82*N61^(-0.5)),IF($N$80&lt;=51.2,(0.000000002605*$N$80+0.0000001277)*$N$43^2*(IF(ABS('Chemical Properties'!F55)&gt;0,'Chemical Properties'!F55,'Chemical Properties'!F18)/$F$12)^(2/3),0.000000261*$N$43^2*(IF(ABS('Chemical Properties'!F55)&gt;0,'Chemical Properties'!F55,'Chemical Properties'!F18)/$F$12)^(2/3))))</f>
        <v>6.5341026650847605E-6</v>
      </c>
      <c r="Q61" s="71">
        <f>($N$83*((IF(ABS('Chemical Properties'!F55)&gt;0,'Chemical Properties'!F55,'Chemical Properties'!F18))/0.0000693)^(0.5))/$N$84</f>
        <v>5.8293530196547181E-5</v>
      </c>
      <c r="R61" s="105">
        <f t="shared" si="3"/>
        <v>6.1485808401953177E-3</v>
      </c>
      <c r="S61" s="72">
        <f t="shared" si="5"/>
        <v>1.7488059058964154E-4</v>
      </c>
      <c r="T61" s="105">
        <f t="shared" si="6"/>
        <v>1.1571573991936002E-8</v>
      </c>
      <c r="U61" s="105">
        <f t="shared" si="7"/>
        <v>3.8306656980891011E-7</v>
      </c>
      <c r="V61" s="105">
        <f>IF(ABS('Chemical Properties'!E55)&gt;0,'Chemical Properties'!E55,'Chemical Properties'!E18)/($F$5*($B$5+273.15))</f>
        <v>6.618156667700924E-5</v>
      </c>
      <c r="W61" s="105">
        <f t="shared" si="8"/>
        <v>2.3143595927136968E-7</v>
      </c>
      <c r="X61" s="105">
        <f t="shared" si="4"/>
        <v>0.9989907278728597</v>
      </c>
      <c r="Y61" s="105">
        <f>((IF(ABS('Chemical Properties'!J55)&gt;0,'Chemical Properties'!J55,'Chemical Properties'!J18)/$B$7)*(W61*$B$4+$N$78*V61+$B$12*AA61*$B$15+($B$7-$B$12))+((IF(ABS('Chemical Properties'!I55)&gt;0,'Chemical Properties'!I55,'Chemical Properties'!I18)*$B$9*$B$4*$B$8)/$B$7)-B34)</f>
        <v>165.70574235731817</v>
      </c>
      <c r="Z61" s="105">
        <f>-IF(ABS('Chemical Properties'!J55)&gt;0,'Chemical Properties'!J55,'Chemical Properties'!J18)*B34</f>
        <v>0</v>
      </c>
      <c r="AA61" s="105">
        <f>0.000001*$F$11*'Chemical Properties'!N18</f>
        <v>1.5794793046647064E-7</v>
      </c>
      <c r="AB61" s="88"/>
    </row>
    <row r="62" spans="8:28">
      <c r="M62" s="64" t="s">
        <v>74</v>
      </c>
      <c r="N62" s="105">
        <f>$F$3/($F$4*IF(ABS('Chemical Properties'!F56)&gt;0,'Chemical Properties'!F56,'Chemical Properties'!F19))</f>
        <v>956.10278372591006</v>
      </c>
      <c r="O62" s="105">
        <f>$F$6/($F$7*IF(ABS('Chemical Properties'!G56)&gt;0,'Chemical Properties'!G56,'Chemical Properties'!G19))</f>
        <v>2.1125116713352012</v>
      </c>
      <c r="P62" s="105">
        <f>IF($N$43&lt;3.25,0.00000278*(IF(ABS('Chemical Properties'!F56)&gt;0,'Chemical Properties'!F56,'Chemical Properties'!F19)/$F$12)^(2/3),IF($N$80&lt;14,IF($N$82&lt;0.3,0.000001+0.0144*$N$82^2.2*N62^(-0.5),0.000001+0.00341*$N$82*N62^(-0.5)),IF($N$80&lt;=51.2,(0.000000002605*$N$80+0.0000001277)*$N$43^2*(IF(ABS('Chemical Properties'!F56)&gt;0,'Chemical Properties'!F56,'Chemical Properties'!F19)/$F$12)^(2/3),0.000000261*$N$43^2*(IF(ABS('Chemical Properties'!F56)&gt;0,'Chemical Properties'!F56,'Chemical Properties'!F19)/$F$12)^(2/3))))</f>
        <v>6.5459911914930456E-6</v>
      </c>
      <c r="Q62" s="71">
        <f>($N$83*((IF(ABS('Chemical Properties'!F56)&gt;0,'Chemical Properties'!F56,'Chemical Properties'!F19))/0.0000693)^(0.5))/$N$84</f>
        <v>5.8418758117876895E-5</v>
      </c>
      <c r="R62" s="105">
        <f t="shared" si="3"/>
        <v>6.2667424158220544E-3</v>
      </c>
      <c r="S62" s="72">
        <f t="shared" si="5"/>
        <v>1.7525627435363068E-4</v>
      </c>
      <c r="T62" s="105">
        <f t="shared" si="6"/>
        <v>2.4852569801574937E-5</v>
      </c>
      <c r="U62" s="105">
        <f t="shared" si="7"/>
        <v>6.518402776888026E-6</v>
      </c>
      <c r="V62" s="105">
        <f>IF(ABS('Chemical Properties'!E56)&gt;0,'Chemical Properties'!E56,'Chemical Properties'!E19)/($F$5*($B$5+273.15))</f>
        <v>0.24680162834678984</v>
      </c>
      <c r="W62" s="105">
        <f t="shared" si="8"/>
        <v>1.4001736256352069E-5</v>
      </c>
      <c r="X62" s="105">
        <f t="shared" si="4"/>
        <v>2.1526907833486773</v>
      </c>
      <c r="Y62" s="105">
        <f>((IF(ABS('Chemical Properties'!J56)&gt;0,'Chemical Properties'!J56,'Chemical Properties'!J19)/$B$7)*(W62*$B$4+$N$78*V62+$B$12*AA62*$B$15+($B$7-$B$12))+((IF(ABS('Chemical Properties'!I56)&gt;0,'Chemical Properties'!I56,'Chemical Properties'!I19)*$B$9*$B$4*$B$8)/$B$7)-B35)</f>
        <v>340.34432442256997</v>
      </c>
      <c r="Z62" s="105">
        <f>-IF(ABS('Chemical Properties'!J56)&gt;0,'Chemical Properties'!J56,'Chemical Properties'!J19)*B35</f>
        <v>0</v>
      </c>
      <c r="AA62" s="105">
        <f>0.000001*$F$11*'Chemical Properties'!N19</f>
        <v>2.3362210884676578E-4</v>
      </c>
      <c r="AB62" s="88"/>
    </row>
    <row r="63" spans="8:28">
      <c r="M63" s="63" t="s">
        <v>75</v>
      </c>
      <c r="N63" s="105">
        <f>$F$3/($F$4*IF(ABS('Chemical Properties'!F57)&gt;0,'Chemical Properties'!F57,'Chemical Properties'!F20))</f>
        <v>850.4761904761906</v>
      </c>
      <c r="O63" s="105">
        <f>$F$6/($F$7*IF(ABS('Chemical Properties'!G57)&gt;0,'Chemical Properties'!G57,'Chemical Properties'!G20))</f>
        <v>1.4729817708333335</v>
      </c>
      <c r="P63" s="105">
        <f>IF($N$43&lt;3.25,0.00000278*(IF(ABS('Chemical Properties'!F57)&gt;0,'Chemical Properties'!F57,'Chemical Properties'!F20)/$F$12)^(2/3),IF($N$80&lt;14,IF($N$82&lt;0.3,0.000001+0.0144*$N$82^2.2*N63^(-0.5),0.000001+0.00341*$N$82*N63^(-0.5)),IF($N$80&lt;=51.2,(0.000000002605*$N$80+0.0000001277)*$N$43^2*(IF(ABS('Chemical Properties'!F57)&gt;0,'Chemical Properties'!F57,'Chemical Properties'!F20)/$F$12)^(2/3),0.000000261*$N$43^2*(IF(ABS('Chemical Properties'!F57)&gt;0,'Chemical Properties'!F57,'Chemical Properties'!F20)/$F$12)^(2/3))))</f>
        <v>6.8803122332325578E-6</v>
      </c>
      <c r="Q63" s="71">
        <f>($N$83*((IF(ABS('Chemical Properties'!F57)&gt;0,'Chemical Properties'!F57,'Chemical Properties'!F20))/0.0000693)^(0.5))/$N$84</f>
        <v>6.1940332422043661E-5</v>
      </c>
      <c r="R63" s="105">
        <f t="shared" si="3"/>
        <v>7.9793040326923276E-3</v>
      </c>
      <c r="S63" s="72">
        <f t="shared" si="5"/>
        <v>1.8582099726613098E-4</v>
      </c>
      <c r="T63" s="105">
        <f t="shared" si="6"/>
        <v>3.9456846847659805E-6</v>
      </c>
      <c r="U63" s="105">
        <f t="shared" si="7"/>
        <v>6.6282941518580226E-6</v>
      </c>
      <c r="V63" s="105">
        <f>IF(ABS('Chemical Properties'!E57)&gt;0,'Chemical Properties'!E57,'Chemical Properties'!E20)/($F$5*($B$5+273.15))</f>
        <v>2.267844153849265E-2</v>
      </c>
      <c r="W63" s="105">
        <f t="shared" si="8"/>
        <v>5.5333515122286181E-6</v>
      </c>
      <c r="X63" s="105">
        <f t="shared" si="4"/>
        <v>1.1094562028350385</v>
      </c>
      <c r="Y63" s="105">
        <f>((IF(ABS('Chemical Properties'!J57)&gt;0,'Chemical Properties'!J57,'Chemical Properties'!J20)/$B$7)*(W63*$B$4+$N$78*V63+$B$12*AA63*$B$15+($B$7-$B$12))+((IF(ABS('Chemical Properties'!I57)&gt;0,'Chemical Properties'!I57,'Chemical Properties'!I20)*$B$9*$B$4*$B$8)/$B$7)-B36)</f>
        <v>152.81700325125385</v>
      </c>
      <c r="Z63" s="105">
        <f>-IF(ABS('Chemical Properties'!J57)&gt;0,'Chemical Properties'!J57,'Chemical Properties'!J20)*B36</f>
        <v>0</v>
      </c>
      <c r="AA63" s="105">
        <f>0.000001*$F$11*'Chemical Properties'!N20</f>
        <v>1.2588788578478174E-5</v>
      </c>
      <c r="AB63" s="88"/>
    </row>
    <row r="64" spans="8:28">
      <c r="M64" s="64" t="s">
        <v>78</v>
      </c>
      <c r="N64" s="105">
        <f>$F$3/($F$4*IF(ABS('Chemical Properties'!F58)&gt;0,'Chemical Properties'!F58,'Chemical Properties'!F21))</f>
        <v>1089.0243902439026</v>
      </c>
      <c r="O64" s="105">
        <f>$F$6/($F$7*IF(ABS('Chemical Properties'!G58)&gt;0,'Chemical Properties'!G58,'Chemical Properties'!G21))</f>
        <v>3.7334983498349841</v>
      </c>
      <c r="P64" s="105">
        <f>IF($N$43&lt;3.25,0.00000278*(IF(ABS('Chemical Properties'!F58)&gt;0,'Chemical Properties'!F58,'Chemical Properties'!F21)/$F$12)^(2/3),IF($N$80&lt;14,IF($N$82&lt;0.3,0.000001+0.0144*$N$82^2.2*N64^(-0.5),0.000001+0.00341*$N$82*N64^(-0.5)),IF($N$80&lt;=51.2,(0.000000002605*$N$80+0.0000001277)*$N$43^2*(IF(ABS('Chemical Properties'!F58)&gt;0,'Chemical Properties'!F58,'Chemical Properties'!F21)/$F$12)^(2/3),0.000000261*$N$43^2*(IF(ABS('Chemical Properties'!F58)&gt;0,'Chemical Properties'!F58,'Chemical Properties'!F21)/$F$12)^(2/3))))</f>
        <v>6.196520723151456E-6</v>
      </c>
      <c r="Q64" s="71">
        <f>($N$83*((IF(ABS('Chemical Properties'!F58)&gt;0,'Chemical Properties'!F58,'Chemical Properties'!F21))/0.0000693)^(0.5))/$N$84</f>
        <v>5.4737607164968091E-5</v>
      </c>
      <c r="R64" s="105">
        <f t="shared" si="3"/>
        <v>4.2789731055326626E-3</v>
      </c>
      <c r="S64" s="72">
        <f t="shared" si="5"/>
        <v>1.6421282149490428E-4</v>
      </c>
      <c r="T64" s="105">
        <f t="shared" si="6"/>
        <v>1.8160747756526581E-6</v>
      </c>
      <c r="U64" s="105">
        <f t="shared" si="7"/>
        <v>5.5002036284470076E-6</v>
      </c>
      <c r="V64" s="105">
        <f>IF(ABS('Chemical Properties'!E58)&gt;0,'Chemical Properties'!E58,'Chemical Properties'!E21)/($F$5*($B$5+273.15))</f>
        <v>1.1438789302199128E-2</v>
      </c>
      <c r="W64" s="105">
        <f t="shared" si="8"/>
        <v>3.9964775660819664E-6</v>
      </c>
      <c r="X64" s="105">
        <f t="shared" si="4"/>
        <v>1.0775535345451326</v>
      </c>
      <c r="Y64" s="105">
        <f>((IF(ABS('Chemical Properties'!J58)&gt;0,'Chemical Properties'!J58,'Chemical Properties'!J21)/$B$7)*(W64*$B$4+$N$78*V64+$B$12*AA64*$B$15+($B$7-$B$12))+((IF(ABS('Chemical Properties'!I58)&gt;0,'Chemical Properties'!I58,'Chemical Properties'!I21)*$B$9*$B$4*$B$8)/$B$7)-B37)</f>
        <v>150.39477415930301</v>
      </c>
      <c r="Z64" s="105">
        <f>-IF(ABS('Chemical Properties'!J58)&gt;0,'Chemical Properties'!J58,'Chemical Properties'!J21)*B37</f>
        <v>0</v>
      </c>
      <c r="AA64" s="105">
        <f>0.000001*$F$11*'Chemical Properties'!N21</f>
        <v>9.0889547210159583E-4</v>
      </c>
      <c r="AB64" s="88"/>
    </row>
    <row r="65" spans="13:28">
      <c r="M65" s="65" t="s">
        <v>14</v>
      </c>
      <c r="N65" s="105">
        <f>$F$3/($F$4*IF(ABS('Chemical Properties'!F59)&gt;0,'Chemical Properties'!F59,'Chemical Properties'!F22))</f>
        <v>686.92307692307702</v>
      </c>
      <c r="O65" s="105">
        <f>$F$6/($F$7*IF(ABS('Chemical Properties'!G59)&gt;0,'Chemical Properties'!G59,'Chemical Properties'!G22))</f>
        <v>0.93279736136878999</v>
      </c>
      <c r="P65" s="105">
        <f>IF($N$43&lt;3.25,0.00000278*(IF(ABS('Chemical Properties'!F59)&gt;0,'Chemical Properties'!F59,'Chemical Properties'!F22)/$F$12)^(2/3),IF($N$80&lt;14,IF($N$82&lt;0.3,0.000001+0.0144*$N$82^2.2*N65^(-0.5),0.000001+0.00341*$N$82*N65^(-0.5)),IF($N$80&lt;=51.2,(0.000000002605*$N$80+0.0000001277)*$N$43^2*(IF(ABS('Chemical Properties'!F59)&gt;0,'Chemical Properties'!F59,'Chemical Properties'!F22)/$F$12)^(2/3),0.000000261*$N$43^2*(IF(ABS('Chemical Properties'!F59)&gt;0,'Chemical Properties'!F59,'Chemical Properties'!F22)/$F$12)^(2/3))))</f>
        <v>7.5430074305755941E-6</v>
      </c>
      <c r="Q65" s="71">
        <f>($N$83*((IF(ABS('Chemical Properties'!F59)&gt;0,'Chemical Properties'!F59,'Chemical Properties'!F22))/0.0000693)^(0.5))/$N$84</f>
        <v>6.8920839441031427E-5</v>
      </c>
      <c r="R65" s="105">
        <f t="shared" si="3"/>
        <v>1.0836767493946152E-2</v>
      </c>
      <c r="S65" s="72">
        <f t="shared" si="5"/>
        <v>2.0676251832309428E-4</v>
      </c>
      <c r="T65" s="105">
        <f t="shared" si="6"/>
        <v>5.9116848772409203E-5</v>
      </c>
      <c r="U65" s="105">
        <f t="shared" si="7"/>
        <v>7.5403961603812736E-6</v>
      </c>
      <c r="V65" s="105">
        <f>IF(ABS('Chemical Properties'!E59)&gt;0,'Chemical Properties'!E59,'Chemical Properties'!E22)/($F$5*($B$5+273.15))</f>
        <v>2.0099586916721326</v>
      </c>
      <c r="W65" s="105">
        <f t="shared" si="8"/>
        <v>2.8592009471413081E-5</v>
      </c>
      <c r="X65" s="105">
        <f t="shared" si="4"/>
        <v>10.248672119434589</v>
      </c>
      <c r="Y65" s="105">
        <f>((IF(ABS('Chemical Properties'!J59)&gt;0,'Chemical Properties'!J59,'Chemical Properties'!J22)/$B$7)*(W65*$B$4+$N$78*V65+$B$12*AA65*$B$15+($B$7-$B$12))+((IF(ABS('Chemical Properties'!I59)&gt;0,'Chemical Properties'!I59,'Chemical Properties'!I22)*$B$9*$B$4*$B$8)/$B$7)-B38)</f>
        <v>284.8955949076236</v>
      </c>
      <c r="Z65" s="105">
        <f>-IF(ABS('Chemical Properties'!J59)&gt;0,'Chemical Properties'!J59,'Chemical Properties'!J22)*B38</f>
        <v>0</v>
      </c>
      <c r="AA65" s="105">
        <f>0.000001*$F$11*'Chemical Properties'!N22</f>
        <v>9.9865145680190467E-7</v>
      </c>
      <c r="AB65" s="88"/>
    </row>
    <row r="66" spans="13:28">
      <c r="M66" s="65" t="s">
        <v>79</v>
      </c>
      <c r="N66" s="105">
        <f>$F$3/($F$4*IF(ABS('Chemical Properties'!F60)&gt;0,'Chemical Properties'!F60,'Chemical Properties'!F23))</f>
        <v>902.02020202020208</v>
      </c>
      <c r="O66" s="105">
        <f>$F$6/($F$7*IF(ABS('Chemical Properties'!G60)&gt;0,'Chemical Properties'!G60,'Chemical Properties'!G23))</f>
        <v>1.4503205128205132</v>
      </c>
      <c r="P66" s="105">
        <f>IF($N$43&lt;3.25,0.00000278*(IF(ABS('Chemical Properties'!F60)&gt;0,'Chemical Properties'!F60,'Chemical Properties'!F23)/$F$12)^(2/3),IF($N$80&lt;14,IF($N$82&lt;0.3,0.000001+0.0144*$N$82^2.2*N66^(-0.5),0.000001+0.00341*$N$82*N66^(-0.5)),IF($N$80&lt;=51.2,(0.000000002605*$N$80+0.0000001277)*$N$43^2*(IF(ABS('Chemical Properties'!F60)&gt;0,'Chemical Properties'!F60,'Chemical Properties'!F23)/$F$12)^(2/3),0.000000261*$N$43^2*(IF(ABS('Chemical Properties'!F60)&gt;0,'Chemical Properties'!F60,'Chemical Properties'!F23)/$F$12)^(2/3))))</f>
        <v>6.7098320583009582E-6</v>
      </c>
      <c r="Q66" s="71">
        <f>($N$83*((IF(ABS('Chemical Properties'!F60)&gt;0,'Chemical Properties'!F60,'Chemical Properties'!F23))/0.0000693)^(0.5))/$N$84</f>
        <v>6.0144577658044241E-5</v>
      </c>
      <c r="R66" s="105">
        <f t="shared" si="3"/>
        <v>8.0626234907690639E-3</v>
      </c>
      <c r="S66" s="72">
        <f t="shared" si="5"/>
        <v>1.8043373297413272E-4</v>
      </c>
      <c r="T66" s="105">
        <f t="shared" si="6"/>
        <v>8.8083622708042645E-6</v>
      </c>
      <c r="U66" s="105">
        <f t="shared" si="7"/>
        <v>6.6135992671464584E-6</v>
      </c>
      <c r="V66" s="105">
        <f>IF(ABS('Chemical Properties'!E60)&gt;0,'Chemical Properties'!E60,'Chemical Properties'!E23)/($F$5*($B$5+273.15))</f>
        <v>5.7193946510995644E-2</v>
      </c>
      <c r="W66" s="105">
        <f t="shared" si="8"/>
        <v>7.5094209012925016E-6</v>
      </c>
      <c r="X66" s="105">
        <f t="shared" si="4"/>
        <v>1.2699353104151458</v>
      </c>
      <c r="Y66" s="105">
        <f>((IF(ABS('Chemical Properties'!J60)&gt;0,'Chemical Properties'!J60,'Chemical Properties'!J23)/$B$7)*(W66*$B$4+$N$78*V66+$B$12*AA66*$B$15+($B$7-$B$12))+((IF(ABS('Chemical Properties'!I60)&gt;0,'Chemical Properties'!I60,'Chemical Properties'!I23)*$B$9*$B$4*$B$8)/$B$7)-B39)</f>
        <v>17.726736876688616</v>
      </c>
      <c r="Z66" s="105">
        <f>-IF(ABS('Chemical Properties'!J60)&gt;0,'Chemical Properties'!J60,'Chemical Properties'!J23)*B39</f>
        <v>0</v>
      </c>
      <c r="AA66" s="105">
        <f>0.000001*$F$11*'Chemical Properties'!N23</f>
        <v>4.7699512434615613E-6</v>
      </c>
      <c r="AB66" s="88"/>
    </row>
    <row r="67" spans="13:28">
      <c r="M67" s="65" t="s">
        <v>15</v>
      </c>
      <c r="N67" s="105">
        <f>$F$3/($F$4*IF(ABS('Chemical Properties'!F61)&gt;0,'Chemical Properties'!F61,'Chemical Properties'!F24))</f>
        <v>911.22448979591843</v>
      </c>
      <c r="O67" s="105">
        <f>$F$6/($F$7*IF(ABS('Chemical Properties'!G61)&gt;0,'Chemical Properties'!G61,'Chemical Properties'!G24))</f>
        <v>2.1425189393939394</v>
      </c>
      <c r="P67" s="105">
        <f>IF($N$43&lt;3.25,0.00000278*(IF(ABS('Chemical Properties'!F61)&gt;0,'Chemical Properties'!F61,'Chemical Properties'!F24)/$F$12)^(2/3),IF($N$80&lt;14,IF($N$82&lt;0.3,0.000001+0.0144*$N$82^2.2*N67^(-0.5),0.000001+0.00341*$N$82*N67^(-0.5)),IF($N$80&lt;=51.2,(0.000000002605*$N$80+0.0000001277)*$N$43^2*(IF(ABS('Chemical Properties'!F61)&gt;0,'Chemical Properties'!F61,'Chemical Properties'!F24)/$F$12)^(2/3),0.000000261*$N$43^2*(IF(ABS('Chemical Properties'!F61)&gt;0,'Chemical Properties'!F61,'Chemical Properties'!F24)/$F$12)^(2/3))))</f>
        <v>6.6809213304666372E-6</v>
      </c>
      <c r="Q67" s="71">
        <f>($N$83*((IF(ABS('Chemical Properties'!F61)&gt;0,'Chemical Properties'!F61,'Chemical Properties'!F24))/0.0000693)^(0.5))/$N$84</f>
        <v>5.9840046194136484E-5</v>
      </c>
      <c r="R67" s="105">
        <f t="shared" si="3"/>
        <v>6.2078001037768797E-3</v>
      </c>
      <c r="S67" s="72">
        <f t="shared" si="5"/>
        <v>1.7952013858240945E-4</v>
      </c>
      <c r="T67" s="105">
        <f t="shared" si="6"/>
        <v>2.8382207249976166E-13</v>
      </c>
      <c r="U67" s="105">
        <f t="shared" si="7"/>
        <v>9.8145429536210316E-12</v>
      </c>
      <c r="V67" s="105">
        <f>IF(ABS('Chemical Properties'!E61)&gt;0,'Chemical Properties'!E61,'Chemical Properties'!E24)/($F$5*($B$5+273.15))</f>
        <v>1.5810040928396652E-9</v>
      </c>
      <c r="W67" s="105">
        <f t="shared" si="8"/>
        <v>5.92445279806133E-12</v>
      </c>
      <c r="X67" s="105">
        <f t="shared" si="4"/>
        <v>0.99840015534574345</v>
      </c>
      <c r="Y67" s="105">
        <f>((IF(ABS('Chemical Properties'!J61)&gt;0,'Chemical Properties'!J61,'Chemical Properties'!J24)/$B$7)*(W67*$B$4+$N$78*V67+$B$12*AA67*$B$15+($B$7-$B$12))+((IF(ABS('Chemical Properties'!I61)&gt;0,'Chemical Properties'!I61,'Chemical Properties'!I24)*$B$9*$B$4*$B$8)/$B$7)-B40)</f>
        <v>126.53401395542684</v>
      </c>
      <c r="Z67" s="105">
        <f>-IF(ABS('Chemical Properties'!J61)&gt;0,'Chemical Properties'!J61,'Chemical Properties'!J24)*B40</f>
        <v>0</v>
      </c>
      <c r="AA67" s="105">
        <f>0.000001*$F$11*'Chemical Properties'!N24</f>
        <v>5.8683220531284451E-9</v>
      </c>
      <c r="AB67" s="88"/>
    </row>
    <row r="68" spans="13:28">
      <c r="M68" s="65" t="s">
        <v>80</v>
      </c>
      <c r="N68" s="105">
        <f>$F$3/($F$4*IF(ABS('Chemical Properties'!F62)&gt;0,'Chemical Properties'!F62,'Chemical Properties'!F25))</f>
        <v>1355.0834597875571</v>
      </c>
      <c r="O68" s="105">
        <f>$F$6/($F$7*IF(ABS('Chemical Properties'!G62)&gt;0,'Chemical Properties'!G62,'Chemical Properties'!G25))</f>
        <v>2.0577535243292409</v>
      </c>
      <c r="P68" s="105">
        <f>IF($N$43&lt;3.25,0.00000278*(IF(ABS('Chemical Properties'!F62)&gt;0,'Chemical Properties'!F62,'Chemical Properties'!F25)/$F$12)^(2/3),IF($N$80&lt;14,IF($N$82&lt;0.3,0.000001+0.0144*$N$82^2.2*N68^(-0.5),0.000001+0.00341*$N$82*N68^(-0.5)),IF($N$80&lt;=51.2,(0.000000002605*$N$80+0.0000001277)*$N$43^2*(IF(ABS('Chemical Properties'!F62)&gt;0,'Chemical Properties'!F62,'Chemical Properties'!F25)/$F$12)^(2/3),0.000000261*$N$43^2*(IF(ABS('Chemical Properties'!F62)&gt;0,'Chemical Properties'!F62,'Chemical Properties'!F25)/$F$12)^(2/3))))</f>
        <v>5.6585251520442802E-6</v>
      </c>
      <c r="Q68" s="71">
        <f>($N$83*((IF(ABS('Chemical Properties'!F62)&gt;0,'Chemical Properties'!F62,'Chemical Properties'!F25))/0.0000693)^(0.5))/$N$84</f>
        <v>4.9070625005817177E-5</v>
      </c>
      <c r="R68" s="105">
        <f t="shared" si="3"/>
        <v>6.3779881090884807E-3</v>
      </c>
      <c r="S68" s="72">
        <f t="shared" si="5"/>
        <v>1.4721187501745152E-4</v>
      </c>
      <c r="T68" s="105">
        <f t="shared" si="6"/>
        <v>4.893883946781282E-5</v>
      </c>
      <c r="U68" s="105">
        <f t="shared" si="7"/>
        <v>5.6584845960525632E-6</v>
      </c>
      <c r="V68" s="105">
        <f>IF(ABS('Chemical Properties'!E62)&gt;0,'Chemical Properties'!E62,'Chemical Properties'!E25)/($F$5*($B$5+273.15))</f>
        <v>123.78404137736914</v>
      </c>
      <c r="W68" s="105">
        <f t="shared" si="8"/>
        <v>2.3323935564117974E-5</v>
      </c>
      <c r="X68" s="105">
        <f t="shared" si="4"/>
        <v>571.11270977901688</v>
      </c>
      <c r="Y68" s="105">
        <f>((IF(ABS('Chemical Properties'!J62)&gt;0,'Chemical Properties'!J62,'Chemical Properties'!J25)/$B$7)*(W68*$B$4+$N$78*V68+$B$12*AA68*$B$15+($B$7-$B$12))+((IF(ABS('Chemical Properties'!I62)&gt;0,'Chemical Properties'!I62,'Chemical Properties'!I25)*$B$9*$B$4*$B$8)/$B$7)-B41)</f>
        <v>6060.1398028631356</v>
      </c>
      <c r="Z68" s="105">
        <f>-IF(ABS('Chemical Properties'!J62)&gt;0,'Chemical Properties'!J62,'Chemical Properties'!J25)*B41</f>
        <v>0</v>
      </c>
      <c r="AA68" s="105">
        <f>0.000001*$F$11*'Chemical Properties'!N25</f>
        <v>0.10678590678677739</v>
      </c>
      <c r="AB68" s="88"/>
    </row>
    <row r="69" spans="13:28">
      <c r="M69" s="65" t="s">
        <v>59</v>
      </c>
      <c r="N69" s="105" t="e">
        <f>$F$3/($F$4*IF(ABS('Chemical Properties'!F63)&gt;0,'Chemical Properties'!F63,'Chemical Properties'!F26))</f>
        <v>#DIV/0!</v>
      </c>
      <c r="O69" s="105" t="e">
        <f>$F$6/($F$7*IF(ABS('Chemical Properties'!G63)&gt;0,'Chemical Properties'!G63,'Chemical Properties'!G26))</f>
        <v>#DIV/0!</v>
      </c>
      <c r="P69" s="105" t="e">
        <f>IF($N$43&lt;3.25,0.00000278*(IF(ABS('Chemical Properties'!F63)&gt;0,'Chemical Properties'!F63,'Chemical Properties'!F26)/$F$12)^(2/3),IF($N$80&lt;14,IF($N$82&lt;0.3,0.000001+0.0144*$N$82^2.2*N69^(-0.5),0.000001+0.00341*$N$82*N69^(-0.5)),IF($N$80&lt;=51.2,(0.000000002605*$N$80+0.0000001277)*$N$43^2*(IF(ABS('Chemical Properties'!F63)&gt;0,'Chemical Properties'!F63,'Chemical Properties'!F26)/$F$12)^(2/3),0.000000261*$N$43^2*(IF(ABS('Chemical Properties'!F63)&gt;0,'Chemical Properties'!F63,'Chemical Properties'!F26)/$F$12)^(2/3))))</f>
        <v>#DIV/0!</v>
      </c>
      <c r="Q69" s="71">
        <f>($N$83*((IF(ABS('Chemical Properties'!F63)&gt;0,'Chemical Properties'!F63,'Chemical Properties'!F26))/0.0000693)^(0.5))/$N$84</f>
        <v>0</v>
      </c>
      <c r="R69" s="105" t="e">
        <f t="shared" si="3"/>
        <v>#DIV/0!</v>
      </c>
      <c r="S69" s="72">
        <f>3*Q69</f>
        <v>0</v>
      </c>
      <c r="T69" s="105" t="e">
        <f>(Q69*V69*S69)/(V69*S69+Q69)</f>
        <v>#DIV/0!</v>
      </c>
      <c r="U69" s="105" t="e">
        <f>(P69*V69*R69)/(V69*R69+P69)</f>
        <v>#DIV/0!</v>
      </c>
      <c r="V69" s="105">
        <f>IF(ABS('Chemical Properties'!E63)&gt;0,'Chemical Properties'!E63,'Chemical Properties'!E26)/($F$5*($B$5+273.15))</f>
        <v>0</v>
      </c>
      <c r="W69" s="105" t="e">
        <f>(T69*$B$10+U69*$F$8)/$B$4</f>
        <v>#DIV/0!</v>
      </c>
      <c r="X69" s="105" t="e">
        <f>(W69*$B$4+$N$78*V69+$B$12*AA69*$B$15+($B$7-$B$12))/$B$7</f>
        <v>#DIV/0!</v>
      </c>
      <c r="Y69" s="105" t="e">
        <f>((IF(ABS('Chemical Properties'!J63)&gt;0,'Chemical Properties'!J63,'Chemical Properties'!J26)/$B$7)*(W69*$B$4+$N$78*V69+$B$12*AA69*$B$15+($B$7-$B$12))+((IF(ABS('Chemical Properties'!I63)&gt;0,'Chemical Properties'!I63,'Chemical Properties'!I26)*$B$9*$B$4*$B$8)/$B$7)-B42)</f>
        <v>#DIV/0!</v>
      </c>
      <c r="Z69" s="105">
        <f>-IF(ABS('Chemical Properties'!J63)&gt;0,'Chemical Properties'!J63,'Chemical Properties'!J26)*B42</f>
        <v>0</v>
      </c>
      <c r="AA69" s="105">
        <f>0.000001*$F$11*'Chemical Properties'!N26</f>
        <v>1.5794793046647064E-7</v>
      </c>
      <c r="AB69" s="88"/>
    </row>
    <row r="70" spans="13:28">
      <c r="M70" s="81" t="s">
        <v>60</v>
      </c>
      <c r="N70" s="105" t="e">
        <f>$F$3/($F$4*IF(ABS('Chemical Properties'!F64)&gt;0,'Chemical Properties'!F64,'Chemical Properties'!F27))</f>
        <v>#DIV/0!</v>
      </c>
      <c r="O70" s="105" t="e">
        <f>$F$6/($F$7*IF(ABS('Chemical Properties'!G64)&gt;0,'Chemical Properties'!G64,'Chemical Properties'!G27))</f>
        <v>#DIV/0!</v>
      </c>
      <c r="P70" s="105" t="e">
        <f>IF($N$43&lt;3.25,0.00000278*(IF(ABS('Chemical Properties'!F64)&gt;0,'Chemical Properties'!F64,'Chemical Properties'!F27)/$F$12)^(2/3),IF($N$80&lt;14,IF($N$82&lt;0.3,0.000001+0.0144*$N$82^2.2*N70^(-0.5),0.000001+0.00341*$N$82*N70^(-0.5)),IF($N$80&lt;=51.2,(0.000000002605*$N$80+0.0000001277)*$N$43^2*(IF(ABS('Chemical Properties'!F64)&gt;0,'Chemical Properties'!F64,'Chemical Properties'!F27)/$F$12)^(2/3),0.000000261*$N$43^2*(IF(ABS('Chemical Properties'!F64)&gt;0,'Chemical Properties'!F64,'Chemical Properties'!F27)/$F$12)^(2/3))))</f>
        <v>#DIV/0!</v>
      </c>
      <c r="Q70" s="71">
        <f>($N$83*((IF(ABS('Chemical Properties'!F64)&gt;0,'Chemical Properties'!F64,'Chemical Properties'!F27))/0.0000693)^(0.5))/$N$84</f>
        <v>0</v>
      </c>
      <c r="R70" s="105" t="e">
        <f t="shared" si="3"/>
        <v>#DIV/0!</v>
      </c>
      <c r="S70" s="72">
        <f>3*Q70</f>
        <v>0</v>
      </c>
      <c r="T70" s="105" t="e">
        <f>(Q70*V70*S70)/(V70*S70+Q70)</f>
        <v>#DIV/0!</v>
      </c>
      <c r="U70" s="105" t="e">
        <f>(P70*V70*R70)/(V70*R70+P70)</f>
        <v>#DIV/0!</v>
      </c>
      <c r="V70" s="105">
        <f>IF(ABS('Chemical Properties'!E64)&gt;0,'Chemical Properties'!E64,'Chemical Properties'!E27)/($F$5*($B$5+273.15))</f>
        <v>0</v>
      </c>
      <c r="W70" s="105" t="e">
        <f>(T70*$B$10+U70*$F$8)/$B$4</f>
        <v>#DIV/0!</v>
      </c>
      <c r="X70" s="105" t="e">
        <f>(W70*$B$4+$N$78*V70+$B$12*AA70*$B$15+($B$7-$B$12))/$B$7</f>
        <v>#DIV/0!</v>
      </c>
      <c r="Y70" s="105" t="e">
        <f>((IF(ABS('Chemical Properties'!J64)&gt;0,'Chemical Properties'!J64,'Chemical Properties'!J27)/$B$7)*(W70*$B$4+$N$78*V70+$B$12*AA70*$B$15+($B$7-$B$12))+((IF(ABS('Chemical Properties'!I64)&gt;0,'Chemical Properties'!I64,'Chemical Properties'!I27)*$B$9*$B$4*$B$8)/$B$7)-B43)</f>
        <v>#DIV/0!</v>
      </c>
      <c r="Z70" s="105">
        <f>-IF(ABS('Chemical Properties'!J64)&gt;0,'Chemical Properties'!J64,'Chemical Properties'!J27)*B43</f>
        <v>0</v>
      </c>
      <c r="AA70" s="105">
        <f>0.000001*$F$11*'Chemical Properties'!N27</f>
        <v>1.5794793046647064E-7</v>
      </c>
      <c r="AB70" s="88"/>
    </row>
    <row r="71" spans="13:28">
      <c r="M71" s="65" t="s">
        <v>61</v>
      </c>
      <c r="N71" s="105" t="e">
        <f>$F$3/($F$4*IF(ABS('Chemical Properties'!F65)&gt;0,'Chemical Properties'!F65,'Chemical Properties'!F28))</f>
        <v>#DIV/0!</v>
      </c>
      <c r="O71" s="105" t="e">
        <f>$F$6/($F$7*IF(ABS('Chemical Properties'!G65)&gt;0,'Chemical Properties'!G65,'Chemical Properties'!G28))</f>
        <v>#DIV/0!</v>
      </c>
      <c r="P71" s="105" t="e">
        <f>IF($N$43&lt;3.25,0.00000278*(IF(ABS('Chemical Properties'!F65)&gt;0,'Chemical Properties'!F65,'Chemical Properties'!F28)/$F$12)^(2/3),IF($N$80&lt;14,IF($N$82&lt;0.3,0.000001+0.0144*$N$82^2.2*N71^(-0.5),0.000001+0.00341*$N$82*N71^(-0.5)),IF($N$80&lt;=51.2,(0.000000002605*$N$80+0.0000001277)*$N$43^2*(IF(ABS('Chemical Properties'!F65)&gt;0,'Chemical Properties'!F65,'Chemical Properties'!F28)/$F$12)^(2/3),0.000000261*$N$43^2*(IF(ABS('Chemical Properties'!F65)&gt;0,'Chemical Properties'!F65,'Chemical Properties'!F28)/$F$12)^(2/3))))</f>
        <v>#DIV/0!</v>
      </c>
      <c r="Q71" s="71">
        <f>($N$83*((IF(ABS('Chemical Properties'!F65)&gt;0,'Chemical Properties'!F65,'Chemical Properties'!F28))/0.0000693)^(0.5))/$N$84</f>
        <v>0</v>
      </c>
      <c r="R71" s="105" t="e">
        <f t="shared" si="3"/>
        <v>#DIV/0!</v>
      </c>
      <c r="S71" s="72">
        <f>3*Q71</f>
        <v>0</v>
      </c>
      <c r="T71" s="105" t="e">
        <f>(Q71*V71*S71)/(V71*S71+Q71)</f>
        <v>#DIV/0!</v>
      </c>
      <c r="U71" s="105" t="e">
        <f>(P71*V71*R71)/(V71*R71+P71)</f>
        <v>#DIV/0!</v>
      </c>
      <c r="V71" s="105">
        <f>IF(ABS('Chemical Properties'!E65)&gt;0,'Chemical Properties'!E65,'Chemical Properties'!E28)/($F$5*($B$5+273.15))</f>
        <v>0</v>
      </c>
      <c r="W71" s="105" t="e">
        <f>(T71*$B$10+U71*$F$8)/$B$4</f>
        <v>#DIV/0!</v>
      </c>
      <c r="X71" s="105" t="e">
        <f>(W71*$B$4+$N$78*V71+$B$12*AA71*$B$15+($B$7-$B$12))/$B$7</f>
        <v>#DIV/0!</v>
      </c>
      <c r="Y71" s="105" t="e">
        <f>((IF(ABS('Chemical Properties'!J65)&gt;0,'Chemical Properties'!J65,'Chemical Properties'!J28)/$B$7)*(W71*$B$4+$N$78*V71+$B$12*AA71*$B$15+($B$7-$B$12))+((IF(ABS('Chemical Properties'!I65)&gt;0,'Chemical Properties'!I65,'Chemical Properties'!I28)*$B$9*$B$4*$B$8)/$B$7)-B44)</f>
        <v>#DIV/0!</v>
      </c>
      <c r="Z71" s="105">
        <f>-IF(ABS('Chemical Properties'!J65)&gt;0,'Chemical Properties'!J65,'Chemical Properties'!J28)*B44</f>
        <v>0</v>
      </c>
      <c r="AA71" s="105">
        <f>0.000001*$F$11*'Chemical Properties'!N28</f>
        <v>1.5794793046647064E-7</v>
      </c>
      <c r="AB71" s="88"/>
    </row>
    <row r="72" spans="13:28">
      <c r="M72" s="65" t="s">
        <v>256</v>
      </c>
      <c r="N72" s="105">
        <f>$F$3/($F$4*IF(ABS('Chemical Properties'!F66)&gt;0,'Chemical Properties'!F66,'Chemical Properties'!F29))</f>
        <v>866.990291262136</v>
      </c>
      <c r="O72" s="105">
        <f>$F$6/($F$7*IF(ABS('Chemical Properties'!G66)&gt;0,'Chemical Properties'!G66,'Chemical Properties'!G29))</f>
        <v>1.5204973118279572</v>
      </c>
      <c r="P72" s="105">
        <f>IF($N$43&lt;3.25,0.00000278*(IF(ABS('Chemical Properties'!F66)&gt;0,'Chemical Properties'!F66,'Chemical Properties'!F29)/$F$12)^(2/3),IF($N$80&lt;14,IF($N$82&lt;0.3,0.000001+0.0144*$N$82^2.2*N72^(-0.5),0.000001+0.00341*$N$82*N72^(-0.5)),IF($N$80&lt;=51.2,(0.000000002605*$N$80+0.0000001277)*$N$43^2*(IF(ABS('Chemical Properties'!F66)&gt;0,'Chemical Properties'!F66,'Chemical Properties'!F29)/$F$12)^(2/3),0.000000261*$N$43^2*(IF(ABS('Chemical Properties'!F66)&gt;0,'Chemical Properties'!F66,'Chemical Properties'!F29)/$F$12)^(2/3))))</f>
        <v>6.8240400082935059E-6</v>
      </c>
      <c r="Q72" s="71">
        <f>($N$83*((IF(ABS('Chemical Properties'!F66)&gt;0,'Chemical Properties'!F66,'Chemical Properties'!F29))/0.0000693)^(0.5))/$N$84</f>
        <v>6.134758833285152E-5</v>
      </c>
      <c r="R72" s="105">
        <f t="shared" si="3"/>
        <v>7.8113637605778654E-3</v>
      </c>
      <c r="S72" s="72">
        <f>3*Q72</f>
        <v>1.8404276499855456E-4</v>
      </c>
      <c r="T72" s="105">
        <f>(Q72*V72*S72)/(V72*S72+Q72)</f>
        <v>6.0825172345633534E-5</v>
      </c>
      <c r="U72" s="105">
        <f>(P72*V72*R72)/(V72*R72+P72)</f>
        <v>6.8238864048839215E-6</v>
      </c>
      <c r="V72" s="105">
        <f>IF(ABS('Chemical Properties'!E66)&gt;0,'Chemical Properties'!E66,'Chemical Properties'!E29)/($F$5*($B$5+273.15))</f>
        <v>38.810177989604185</v>
      </c>
      <c r="W72" s="105">
        <f>(T72*$B$10+U72*$F$8)/$B$4</f>
        <v>2.8865227605189886E-5</v>
      </c>
      <c r="X72" s="105">
        <f>(W72*$B$4+$N$78*V72+$B$12*AA72*$B$15+($B$7-$B$12))/$B$7</f>
        <v>178.97291777151554</v>
      </c>
      <c r="Y72" s="105">
        <f>((IF(ABS('Chemical Properties'!J66)&gt;0,'Chemical Properties'!J66,'Chemical Properties'!J29)/$B$7)*(W72*$B$4+$N$78*V72+$B$12*AA72*$B$15+($B$7-$B$12))+((IF(ABS('Chemical Properties'!I66)&gt;0,'Chemical Properties'!I66,'Chemical Properties'!I29)*$B$9*$B$4*$B$8)/$B$7)-B45)</f>
        <v>1974.1708019296068</v>
      </c>
      <c r="Z72" s="105">
        <f>-IF(ABS('Chemical Properties'!J66)&gt;0,'Chemical Properties'!J66,'Chemical Properties'!J29)*B45</f>
        <v>0</v>
      </c>
      <c r="AA72" s="105">
        <f>0.000001*$F$11*'Chemical Properties'!N29</f>
        <v>1.226066256020671E-4</v>
      </c>
      <c r="AB72" s="88"/>
    </row>
    <row r="73" spans="13:28">
      <c r="AB73" s="88"/>
    </row>
    <row r="74" spans="13:28">
      <c r="M74" s="91"/>
      <c r="N74" s="107"/>
      <c r="O74" s="107"/>
      <c r="P74" s="107"/>
      <c r="Q74" s="55"/>
      <c r="R74" s="107"/>
      <c r="S74" s="223"/>
      <c r="T74" s="107"/>
      <c r="U74" s="107"/>
      <c r="V74" s="107"/>
      <c r="W74" s="107"/>
      <c r="X74" s="107"/>
      <c r="Y74" s="107"/>
      <c r="Z74" s="107"/>
      <c r="AA74" s="107"/>
      <c r="AB74" s="88"/>
    </row>
    <row r="75" spans="13:28">
      <c r="M75" s="55"/>
      <c r="N75" s="107"/>
      <c r="O75" s="107"/>
      <c r="P75" s="107"/>
      <c r="Q75" s="107"/>
      <c r="R75" s="107"/>
      <c r="S75" s="107"/>
      <c r="T75" s="106"/>
      <c r="U75" s="106"/>
      <c r="V75" s="106"/>
      <c r="W75" s="106"/>
    </row>
    <row r="76" spans="13:28">
      <c r="M76" s="55"/>
      <c r="N76" s="107"/>
      <c r="O76" s="107"/>
      <c r="P76" s="107"/>
      <c r="Q76" s="107"/>
      <c r="R76" s="107"/>
      <c r="S76" s="107"/>
      <c r="T76" s="106"/>
      <c r="U76" s="106"/>
      <c r="V76" s="106"/>
      <c r="W76" s="106"/>
    </row>
    <row r="77" spans="13:28">
      <c r="M77" s="55"/>
      <c r="N77" s="107"/>
      <c r="O77" s="107"/>
      <c r="P77" s="107"/>
      <c r="Q77" s="107"/>
      <c r="R77" s="107"/>
      <c r="S77" s="106"/>
      <c r="T77" s="106"/>
      <c r="U77" s="106"/>
      <c r="V77" s="106"/>
      <c r="W77" s="106"/>
    </row>
    <row r="78" spans="13:28" ht="14.25">
      <c r="M78" s="71" t="s">
        <v>170</v>
      </c>
      <c r="N78" s="105">
        <f>(((B11*(B16+14.696))/(B6*14.696))+B11)/2</f>
        <v>4.5847822536744687</v>
      </c>
      <c r="O78" s="107"/>
      <c r="P78" s="107"/>
      <c r="Q78" s="107"/>
      <c r="R78" s="107"/>
      <c r="S78" s="106"/>
      <c r="T78" s="106"/>
      <c r="U78" s="106"/>
      <c r="V78" s="106"/>
      <c r="W78" s="106"/>
    </row>
    <row r="79" spans="13:28" ht="15.75">
      <c r="M79" s="71" t="s">
        <v>53</v>
      </c>
      <c r="N79" s="105">
        <f>0.24*B4*10.758</f>
        <v>3162.8519999999999</v>
      </c>
      <c r="O79" s="107"/>
      <c r="P79" s="107"/>
      <c r="Q79" s="107"/>
      <c r="R79" s="107"/>
      <c r="S79" s="106"/>
      <c r="T79" s="106"/>
      <c r="U79" s="106"/>
      <c r="V79" s="106"/>
      <c r="W79" s="106"/>
    </row>
    <row r="80" spans="13:28">
      <c r="M80" s="71" t="s">
        <v>54</v>
      </c>
      <c r="N80" s="108">
        <f>(2*($B$4/PI())^(0.5))/$B$8</f>
        <v>5.6418958354775635</v>
      </c>
      <c r="O80" s="107"/>
      <c r="P80" s="107"/>
      <c r="Q80" s="107"/>
      <c r="R80" s="107"/>
      <c r="S80" s="106"/>
      <c r="T80" s="106"/>
      <c r="U80" s="106"/>
      <c r="V80" s="106"/>
      <c r="W80" s="106"/>
    </row>
    <row r="81" spans="13:23">
      <c r="M81" s="71" t="s">
        <v>55</v>
      </c>
      <c r="N81" s="108">
        <f>2*(B4/3.14)^(0.5)</f>
        <v>39.503285358817024</v>
      </c>
      <c r="O81" s="107"/>
      <c r="P81" s="107"/>
      <c r="Q81" s="107"/>
      <c r="R81" s="107"/>
      <c r="S81" s="106"/>
      <c r="T81" s="106"/>
      <c r="U81" s="106"/>
      <c r="V81" s="106"/>
      <c r="W81" s="106"/>
    </row>
    <row r="82" spans="13:23">
      <c r="M82" s="71" t="s">
        <v>87</v>
      </c>
      <c r="N82" s="108">
        <f>0.01*$N$43*(6.1+0.63*$N$43)^0.5</f>
        <v>0.13347348144481735</v>
      </c>
      <c r="O82" s="107"/>
      <c r="P82" s="107"/>
      <c r="Q82" s="107"/>
      <c r="R82" s="107"/>
      <c r="S82" s="106"/>
      <c r="T82" s="106"/>
      <c r="U82" s="106"/>
      <c r="V82" s="106"/>
      <c r="W82" s="106"/>
    </row>
    <row r="83" spans="13:23" ht="15.75">
      <c r="M83" s="71" t="s">
        <v>172</v>
      </c>
      <c r="N83" s="71">
        <f>IF($B$10=0,0.08/3600,(0.08+0.012*(N78/B10)^0.4)/3600)</f>
        <v>2.2732513598885235E-5</v>
      </c>
      <c r="O83" s="106"/>
      <c r="P83" s="106"/>
      <c r="Q83" s="106"/>
      <c r="R83" s="106"/>
      <c r="S83" s="106"/>
      <c r="T83" s="106"/>
      <c r="U83" s="106"/>
      <c r="V83" s="106"/>
      <c r="W83" s="106"/>
    </row>
    <row r="84" spans="13:23" ht="14.25">
      <c r="M84" s="71" t="s">
        <v>171</v>
      </c>
      <c r="N84" s="71">
        <f>B4/(B4*B8)</f>
        <v>0.14285714285714285</v>
      </c>
      <c r="O84" s="106"/>
      <c r="P84" s="106"/>
      <c r="Q84" s="106"/>
      <c r="R84" s="106"/>
      <c r="S84" s="106"/>
      <c r="T84" s="106"/>
      <c r="U84" s="106"/>
      <c r="V84" s="106"/>
      <c r="W84" s="106"/>
    </row>
    <row r="85" spans="13:23" ht="15.75">
      <c r="M85" s="71" t="s">
        <v>173</v>
      </c>
      <c r="N85" s="71">
        <f>N83/N84</f>
        <v>1.5912759519219665E-4</v>
      </c>
    </row>
    <row r="87" spans="13:23">
      <c r="M87" s="292" t="s">
        <v>159</v>
      </c>
      <c r="N87" s="292"/>
      <c r="O87" s="292"/>
      <c r="P87" s="292"/>
      <c r="Q87" s="292"/>
      <c r="R87" s="292"/>
      <c r="S87" s="292"/>
      <c r="T87" s="292"/>
      <c r="U87" s="147"/>
      <c r="V87" s="147"/>
      <c r="W87" s="147"/>
    </row>
    <row r="88" spans="13:23" ht="25.5">
      <c r="M88" s="128" t="s">
        <v>153</v>
      </c>
      <c r="N88" s="143" t="s">
        <v>155</v>
      </c>
      <c r="O88" s="129" t="s">
        <v>156</v>
      </c>
      <c r="P88" s="129" t="s">
        <v>157</v>
      </c>
      <c r="Q88" s="144" t="s">
        <v>175</v>
      </c>
      <c r="R88" s="144" t="s">
        <v>177</v>
      </c>
      <c r="S88" s="145" t="s">
        <v>158</v>
      </c>
      <c r="T88" s="145" t="s">
        <v>154</v>
      </c>
      <c r="U88" s="146" t="s">
        <v>178</v>
      </c>
      <c r="V88" s="146" t="s">
        <v>176</v>
      </c>
      <c r="W88" s="150" t="s">
        <v>179</v>
      </c>
    </row>
    <row r="89" spans="13:23">
      <c r="M89" s="60" t="s">
        <v>17</v>
      </c>
      <c r="N89" s="72">
        <f t="shared" ref="N89:N110" si="9">$B$7*B20</f>
        <v>1</v>
      </c>
      <c r="O89" s="127">
        <f>M3*($B$7-$B$12)</f>
        <v>0.41204316555519938</v>
      </c>
      <c r="P89" s="127">
        <f>K3</f>
        <v>8.2679543293897174E-4</v>
      </c>
      <c r="Q89" s="127">
        <f t="shared" ref="Q89:Q110" si="10">$B$12*M3*AA47*$B$15</f>
        <v>3.050445879845452E-7</v>
      </c>
      <c r="R89" s="127">
        <f>($B$4*$B$8)*(IF(ABS('Chemical Properties'!I41)&gt;0,'Chemical Properties'!I41,'Chemical Properties'!I4))*$B$9*M3/(IF(ABS('Chemical Properties'!J41)&gt;0,'Chemical Properties'!J41,'Chemical Properties'!J4)+M3)</f>
        <v>0.58712973396725954</v>
      </c>
      <c r="S89" s="130">
        <f t="shared" ref="S89:S110" si="11">O89/N89*100</f>
        <v>41.204316555519938</v>
      </c>
      <c r="T89" s="130">
        <f t="shared" ref="T89:T110" si="12">P89/N89*100</f>
        <v>8.2679543293897179E-2</v>
      </c>
      <c r="U89" s="130">
        <f t="shared" ref="U89:U110" si="13">R89/N89*100</f>
        <v>58.712973396725957</v>
      </c>
      <c r="V89" s="142">
        <f t="shared" ref="V89:V110" si="14">Q89/N89*100</f>
        <v>3.0504458798454521E-5</v>
      </c>
      <c r="W89" s="130">
        <f>(O89+P89+Q89+R89)/N89*100</f>
        <v>99.999999999998579</v>
      </c>
    </row>
    <row r="90" spans="13:23">
      <c r="M90" s="62" t="s">
        <v>6</v>
      </c>
      <c r="N90" s="72">
        <f t="shared" si="9"/>
        <v>1</v>
      </c>
      <c r="O90" s="127">
        <f t="shared" ref="O90:O110" si="15">M4*($B$7-$B$12)</f>
        <v>8.3172094782235681E-2</v>
      </c>
      <c r="P90" s="127">
        <f t="shared" ref="P90:P110" si="16">K4</f>
        <v>8.846881461458396E-2</v>
      </c>
      <c r="Q90" s="127">
        <f t="shared" si="10"/>
        <v>4.2598886687887374E-5</v>
      </c>
      <c r="R90" s="127">
        <f>($B$4*$B$8)*(IF(ABS('Chemical Properties'!I42)&gt;0,'Chemical Properties'!I42,'Chemical Properties'!I5))*$B$9*M4/(IF(ABS('Chemical Properties'!J42)&gt;0,'Chemical Properties'!J42,'Chemical Properties'!J5)+M4)</f>
        <v>0.82831649171654342</v>
      </c>
      <c r="S90" s="130">
        <f t="shared" si="11"/>
        <v>8.3172094782235675</v>
      </c>
      <c r="T90" s="130">
        <f t="shared" si="12"/>
        <v>8.8468814614583966</v>
      </c>
      <c r="U90" s="130">
        <f t="shared" si="13"/>
        <v>82.831649171654348</v>
      </c>
      <c r="V90" s="142">
        <f t="shared" si="14"/>
        <v>4.2598886687887378E-3</v>
      </c>
      <c r="W90" s="130">
        <f t="shared" ref="W90:W110" si="17">(O90+P90+Q90+R90)/N90*100</f>
        <v>100.0000000000051</v>
      </c>
    </row>
    <row r="91" spans="13:23">
      <c r="M91" s="62" t="s">
        <v>13</v>
      </c>
      <c r="N91" s="72">
        <f t="shared" si="9"/>
        <v>1</v>
      </c>
      <c r="O91" s="127">
        <f t="shared" si="15"/>
        <v>7.6532821527640599E-2</v>
      </c>
      <c r="P91" s="127">
        <f t="shared" si="16"/>
        <v>0.43613953830719304</v>
      </c>
      <c r="Q91" s="127">
        <f t="shared" si="10"/>
        <v>2.9058174935217776E-5</v>
      </c>
      <c r="R91" s="127">
        <f>($B$4*$B$8)*(IF(ABS('Chemical Properties'!I43)&gt;0,'Chemical Properties'!I43,'Chemical Properties'!I6))*$B$9*M5/(IF(ABS('Chemical Properties'!J43)&gt;0,'Chemical Properties'!J43,'Chemical Properties'!J6)+M5)</f>
        <v>0.48729858199021403</v>
      </c>
      <c r="S91" s="130">
        <f t="shared" si="11"/>
        <v>7.65328215276406</v>
      </c>
      <c r="T91" s="130">
        <f t="shared" si="12"/>
        <v>43.613953830719304</v>
      </c>
      <c r="U91" s="130">
        <f t="shared" si="13"/>
        <v>48.7298581990214</v>
      </c>
      <c r="V91" s="142">
        <f t="shared" si="14"/>
        <v>2.9058174935217775E-3</v>
      </c>
      <c r="W91" s="130">
        <f t="shared" si="17"/>
        <v>99.999999999998295</v>
      </c>
    </row>
    <row r="92" spans="13:23">
      <c r="M92" s="60" t="s">
        <v>69</v>
      </c>
      <c r="N92" s="72">
        <f t="shared" si="9"/>
        <v>1</v>
      </c>
      <c r="O92" s="127">
        <f t="shared" si="15"/>
        <v>0.41877385541481993</v>
      </c>
      <c r="P92" s="127">
        <f t="shared" si="16"/>
        <v>5.8980685536624252E-3</v>
      </c>
      <c r="Q92" s="127">
        <f t="shared" si="10"/>
        <v>3.0297037854439791E-6</v>
      </c>
      <c r="R92" s="127">
        <f>($B$4*$B$8)*(IF(ABS('Chemical Properties'!I44)&gt;0,'Chemical Properties'!I44,'Chemical Properties'!I7))*$B$9*M6/(IF(ABS('Chemical Properties'!J44)&gt;0,'Chemical Properties'!J44,'Chemical Properties'!J7)+M6)</f>
        <v>0.57532504632773374</v>
      </c>
      <c r="S92" s="130">
        <f t="shared" si="11"/>
        <v>41.877385541481992</v>
      </c>
      <c r="T92" s="130">
        <f t="shared" si="12"/>
        <v>0.58980685536624256</v>
      </c>
      <c r="U92" s="130">
        <f t="shared" si="13"/>
        <v>57.532504632773374</v>
      </c>
      <c r="V92" s="142">
        <f t="shared" si="14"/>
        <v>3.0297037854439793E-4</v>
      </c>
      <c r="W92" s="130">
        <f t="shared" si="17"/>
        <v>100.00000000000016</v>
      </c>
    </row>
    <row r="93" spans="13:23">
      <c r="M93" s="62" t="s">
        <v>9</v>
      </c>
      <c r="N93" s="72">
        <f t="shared" si="9"/>
        <v>1</v>
      </c>
      <c r="O93" s="127">
        <f t="shared" si="15"/>
        <v>0.12133349714880391</v>
      </c>
      <c r="P93" s="127">
        <f t="shared" si="16"/>
        <v>1.1670612891270469E-2</v>
      </c>
      <c r="Q93" s="127">
        <f t="shared" si="10"/>
        <v>1.0553616886587367E-3</v>
      </c>
      <c r="R93" s="127">
        <f>($B$4*$B$8)*(IF(ABS('Chemical Properties'!I45)&gt;0,'Chemical Properties'!I45,'Chemical Properties'!I8))*$B$9*M7/(IF(ABS('Chemical Properties'!J45)&gt;0,'Chemical Properties'!J45,'Chemical Properties'!J8)+M7)</f>
        <v>0.86594052827126144</v>
      </c>
      <c r="S93" s="130">
        <f t="shared" si="11"/>
        <v>12.13334971488039</v>
      </c>
      <c r="T93" s="130">
        <f t="shared" si="12"/>
        <v>1.1670612891270469</v>
      </c>
      <c r="U93" s="130">
        <f t="shared" si="13"/>
        <v>86.594052827126148</v>
      </c>
      <c r="V93" s="142">
        <f t="shared" si="14"/>
        <v>0.10553616886587366</v>
      </c>
      <c r="W93" s="130">
        <f t="shared" si="17"/>
        <v>99.99999999999946</v>
      </c>
    </row>
    <row r="94" spans="13:23">
      <c r="M94" s="63" t="s">
        <v>7</v>
      </c>
      <c r="N94" s="72">
        <f t="shared" si="9"/>
        <v>1</v>
      </c>
      <c r="O94" s="127">
        <f t="shared" si="15"/>
        <v>4.113129616328725E-2</v>
      </c>
      <c r="P94" s="127">
        <f t="shared" si="16"/>
        <v>0.11350492945785985</v>
      </c>
      <c r="Q94" s="127">
        <f t="shared" si="10"/>
        <v>5.9373548393136728E-4</v>
      </c>
      <c r="R94" s="127">
        <f>($B$4*$B$8)*(IF(ABS('Chemical Properties'!I46)&gt;0,'Chemical Properties'!I46,'Chemical Properties'!I9))*$B$9*M8/(IF(ABS('Chemical Properties'!J46)&gt;0,'Chemical Properties'!J46,'Chemical Properties'!J9)+M8)</f>
        <v>0.8447700388948991</v>
      </c>
      <c r="S94" s="130">
        <f t="shared" si="11"/>
        <v>4.1131296163287248</v>
      </c>
      <c r="T94" s="130">
        <f t="shared" si="12"/>
        <v>11.350492945785986</v>
      </c>
      <c r="U94" s="130">
        <f t="shared" si="13"/>
        <v>84.477003889489907</v>
      </c>
      <c r="V94" s="142">
        <f t="shared" si="14"/>
        <v>5.937354839313673E-2</v>
      </c>
      <c r="W94" s="130">
        <f t="shared" si="17"/>
        <v>99.999999999997755</v>
      </c>
    </row>
    <row r="95" spans="13:23">
      <c r="M95" s="62" t="s">
        <v>8</v>
      </c>
      <c r="N95" s="72">
        <f t="shared" si="9"/>
        <v>1</v>
      </c>
      <c r="O95" s="127">
        <f t="shared" si="15"/>
        <v>5.7914431766914555E-2</v>
      </c>
      <c r="P95" s="127">
        <f t="shared" si="16"/>
        <v>8.6630032913542973E-2</v>
      </c>
      <c r="Q95" s="127">
        <f t="shared" si="10"/>
        <v>3.0353404453003726E-4</v>
      </c>
      <c r="R95" s="127">
        <f>($B$4*$B$8)*(IF(ABS('Chemical Properties'!I47)&gt;0,'Chemical Properties'!I47,'Chemical Properties'!I10))*$B$9*M9/(IF(ABS('Chemical Properties'!J47)&gt;0,'Chemical Properties'!J47,'Chemical Properties'!J10)+M9)</f>
        <v>0.85515200127501001</v>
      </c>
      <c r="S95" s="130">
        <f t="shared" si="11"/>
        <v>5.7914431766914554</v>
      </c>
      <c r="T95" s="130">
        <f t="shared" si="12"/>
        <v>8.6630032913542969</v>
      </c>
      <c r="U95" s="130">
        <f t="shared" si="13"/>
        <v>85.515200127501004</v>
      </c>
      <c r="V95" s="142">
        <f t="shared" si="14"/>
        <v>3.0353404453003725E-2</v>
      </c>
      <c r="W95" s="130">
        <f t="shared" si="17"/>
        <v>99.999999999999758</v>
      </c>
    </row>
    <row r="96" spans="13:23">
      <c r="M96" s="62" t="s">
        <v>11</v>
      </c>
      <c r="N96" s="72">
        <f t="shared" si="9"/>
        <v>0</v>
      </c>
      <c r="O96" s="127">
        <f t="shared" si="15"/>
        <v>0</v>
      </c>
      <c r="P96" s="127">
        <f t="shared" si="16"/>
        <v>0</v>
      </c>
      <c r="Q96" s="127">
        <f t="shared" si="10"/>
        <v>0</v>
      </c>
      <c r="R96" s="127">
        <f>($B$4*$B$8)*(IF(ABS('Chemical Properties'!I48)&gt;0,'Chemical Properties'!I48,'Chemical Properties'!I11))*$B$9*M10/(IF(ABS('Chemical Properties'!J48)&gt;0,'Chemical Properties'!J48,'Chemical Properties'!J11)+M10)</f>
        <v>0</v>
      </c>
      <c r="S96" s="130" t="e">
        <f t="shared" si="11"/>
        <v>#DIV/0!</v>
      </c>
      <c r="T96" s="130" t="e">
        <f t="shared" si="12"/>
        <v>#DIV/0!</v>
      </c>
      <c r="U96" s="130" t="e">
        <f t="shared" si="13"/>
        <v>#DIV/0!</v>
      </c>
      <c r="V96" s="142" t="e">
        <f t="shared" si="14"/>
        <v>#DIV/0!</v>
      </c>
      <c r="W96" s="130" t="e">
        <f t="shared" si="17"/>
        <v>#DIV/0!</v>
      </c>
    </row>
    <row r="97" spans="13:23">
      <c r="M97" s="63" t="s">
        <v>70</v>
      </c>
      <c r="N97" s="72">
        <f t="shared" si="9"/>
        <v>0</v>
      </c>
      <c r="O97" s="127">
        <f t="shared" si="15"/>
        <v>0</v>
      </c>
      <c r="P97" s="127">
        <f t="shared" si="16"/>
        <v>0</v>
      </c>
      <c r="Q97" s="127">
        <f t="shared" si="10"/>
        <v>0</v>
      </c>
      <c r="R97" s="127">
        <f>($B$4*$B$8)*(IF(ABS('Chemical Properties'!I49)&gt;0,'Chemical Properties'!I49,'Chemical Properties'!I12))*$B$9*M11/(IF(ABS('Chemical Properties'!J49)&gt;0,'Chemical Properties'!J49,'Chemical Properties'!J12)+M11)</f>
        <v>0</v>
      </c>
      <c r="S97" s="130" t="e">
        <f t="shared" si="11"/>
        <v>#DIV/0!</v>
      </c>
      <c r="T97" s="130" t="e">
        <f t="shared" si="12"/>
        <v>#DIV/0!</v>
      </c>
      <c r="U97" s="130" t="e">
        <f t="shared" si="13"/>
        <v>#DIV/0!</v>
      </c>
      <c r="V97" s="142" t="e">
        <f t="shared" si="14"/>
        <v>#DIV/0!</v>
      </c>
      <c r="W97" s="130" t="e">
        <f t="shared" si="17"/>
        <v>#DIV/0!</v>
      </c>
    </row>
    <row r="98" spans="13:23">
      <c r="M98" s="63" t="s">
        <v>16</v>
      </c>
      <c r="N98" s="72">
        <f t="shared" si="9"/>
        <v>0</v>
      </c>
      <c r="O98" s="127">
        <f t="shared" si="15"/>
        <v>0</v>
      </c>
      <c r="P98" s="127">
        <f t="shared" si="16"/>
        <v>0</v>
      </c>
      <c r="Q98" s="127">
        <f t="shared" si="10"/>
        <v>0</v>
      </c>
      <c r="R98" s="127">
        <f>($B$4*$B$8)*(IF(ABS('Chemical Properties'!I50)&gt;0,'Chemical Properties'!I50,'Chemical Properties'!I13))*$B$9*M12/(IF(ABS('Chemical Properties'!J50)&gt;0,'Chemical Properties'!J50,'Chemical Properties'!J13)+M12)</f>
        <v>0</v>
      </c>
      <c r="S98" s="130" t="e">
        <f t="shared" si="11"/>
        <v>#DIV/0!</v>
      </c>
      <c r="T98" s="130" t="e">
        <f t="shared" si="12"/>
        <v>#DIV/0!</v>
      </c>
      <c r="U98" s="130" t="e">
        <f t="shared" si="13"/>
        <v>#DIV/0!</v>
      </c>
      <c r="V98" s="142" t="e">
        <f t="shared" si="14"/>
        <v>#DIV/0!</v>
      </c>
      <c r="W98" s="130" t="e">
        <f t="shared" si="17"/>
        <v>#DIV/0!</v>
      </c>
    </row>
    <row r="99" spans="13:23">
      <c r="M99" s="60" t="s">
        <v>71</v>
      </c>
      <c r="N99" s="72">
        <f t="shared" si="9"/>
        <v>0</v>
      </c>
      <c r="O99" s="127">
        <f t="shared" si="15"/>
        <v>0</v>
      </c>
      <c r="P99" s="127">
        <f t="shared" si="16"/>
        <v>0</v>
      </c>
      <c r="Q99" s="127">
        <f t="shared" si="10"/>
        <v>0</v>
      </c>
      <c r="R99" s="127">
        <f>($B$4*$B$8)*(IF(ABS('Chemical Properties'!I51)&gt;0,'Chemical Properties'!I51,'Chemical Properties'!I14))*$B$9*M13/(IF(ABS('Chemical Properties'!J51)&gt;0,'Chemical Properties'!J51,'Chemical Properties'!J14)+M13)</f>
        <v>0</v>
      </c>
      <c r="S99" s="130" t="e">
        <f t="shared" si="11"/>
        <v>#DIV/0!</v>
      </c>
      <c r="T99" s="130" t="e">
        <f t="shared" si="12"/>
        <v>#DIV/0!</v>
      </c>
      <c r="U99" s="130" t="e">
        <f t="shared" si="13"/>
        <v>#DIV/0!</v>
      </c>
      <c r="V99" s="142" t="e">
        <f t="shared" si="14"/>
        <v>#DIV/0!</v>
      </c>
      <c r="W99" s="130" t="e">
        <f t="shared" si="17"/>
        <v>#DIV/0!</v>
      </c>
    </row>
    <row r="100" spans="13:23">
      <c r="M100" s="62" t="s">
        <v>12</v>
      </c>
      <c r="N100" s="72">
        <f t="shared" si="9"/>
        <v>0</v>
      </c>
      <c r="O100" s="127">
        <f t="shared" si="15"/>
        <v>0</v>
      </c>
      <c r="P100" s="127">
        <f t="shared" si="16"/>
        <v>0</v>
      </c>
      <c r="Q100" s="127">
        <f t="shared" si="10"/>
        <v>0</v>
      </c>
      <c r="R100" s="127">
        <f>($B$4*$B$8)*(IF(ABS('Chemical Properties'!I52)&gt;0,'Chemical Properties'!I52,'Chemical Properties'!I15))*$B$9*M14/(IF(ABS('Chemical Properties'!J52)&gt;0,'Chemical Properties'!J52,'Chemical Properties'!J15)+M14)</f>
        <v>0</v>
      </c>
      <c r="S100" s="130" t="e">
        <f t="shared" si="11"/>
        <v>#DIV/0!</v>
      </c>
      <c r="T100" s="130" t="e">
        <f t="shared" si="12"/>
        <v>#DIV/0!</v>
      </c>
      <c r="U100" s="130" t="e">
        <f t="shared" si="13"/>
        <v>#DIV/0!</v>
      </c>
      <c r="V100" s="142" t="e">
        <f t="shared" si="14"/>
        <v>#DIV/0!</v>
      </c>
      <c r="W100" s="130" t="e">
        <f t="shared" si="17"/>
        <v>#DIV/0!</v>
      </c>
    </row>
    <row r="101" spans="13:23">
      <c r="M101" s="62" t="s">
        <v>10</v>
      </c>
      <c r="N101" s="72">
        <f t="shared" si="9"/>
        <v>0</v>
      </c>
      <c r="O101" s="127">
        <f t="shared" si="15"/>
        <v>0</v>
      </c>
      <c r="P101" s="127">
        <f t="shared" si="16"/>
        <v>0</v>
      </c>
      <c r="Q101" s="127">
        <f t="shared" si="10"/>
        <v>0</v>
      </c>
      <c r="R101" s="127">
        <f>($B$4*$B$8)*(IF(ABS('Chemical Properties'!I53)&gt;0,'Chemical Properties'!I53,'Chemical Properties'!I16))*$B$9*M15/(IF(ABS('Chemical Properties'!J53)&gt;0,'Chemical Properties'!J53,'Chemical Properties'!J16)+M15)</f>
        <v>0</v>
      </c>
      <c r="S101" s="130" t="e">
        <f t="shared" si="11"/>
        <v>#DIV/0!</v>
      </c>
      <c r="T101" s="130" t="e">
        <f t="shared" si="12"/>
        <v>#DIV/0!</v>
      </c>
      <c r="U101" s="130" t="e">
        <f t="shared" si="13"/>
        <v>#DIV/0!</v>
      </c>
      <c r="V101" s="142" t="e">
        <f t="shared" si="14"/>
        <v>#DIV/0!</v>
      </c>
      <c r="W101" s="130" t="e">
        <f t="shared" si="17"/>
        <v>#DIV/0!</v>
      </c>
    </row>
    <row r="102" spans="13:23">
      <c r="M102" s="63" t="s">
        <v>72</v>
      </c>
      <c r="N102" s="72">
        <f t="shared" si="9"/>
        <v>0</v>
      </c>
      <c r="O102" s="127">
        <f t="shared" si="15"/>
        <v>0</v>
      </c>
      <c r="P102" s="127">
        <f t="shared" si="16"/>
        <v>0</v>
      </c>
      <c r="Q102" s="127">
        <f t="shared" si="10"/>
        <v>0</v>
      </c>
      <c r="R102" s="127">
        <f>($B$4*$B$8)*(IF(ABS('Chemical Properties'!I54)&gt;0,'Chemical Properties'!I54,'Chemical Properties'!I17))*$B$9*M16/(IF(ABS('Chemical Properties'!J54)&gt;0,'Chemical Properties'!J54,'Chemical Properties'!J17)+M16)</f>
        <v>0</v>
      </c>
      <c r="S102" s="130" t="e">
        <f t="shared" si="11"/>
        <v>#DIV/0!</v>
      </c>
      <c r="T102" s="130" t="e">
        <f t="shared" si="12"/>
        <v>#DIV/0!</v>
      </c>
      <c r="U102" s="130" t="e">
        <f t="shared" si="13"/>
        <v>#DIV/0!</v>
      </c>
      <c r="V102" s="142" t="e">
        <f t="shared" si="14"/>
        <v>#DIV/0!</v>
      </c>
      <c r="W102" s="130" t="e">
        <f t="shared" si="17"/>
        <v>#DIV/0!</v>
      </c>
    </row>
    <row r="103" spans="13:23">
      <c r="M103" s="63" t="s">
        <v>73</v>
      </c>
      <c r="N103" s="72">
        <f t="shared" si="9"/>
        <v>0</v>
      </c>
      <c r="O103" s="127">
        <f t="shared" si="15"/>
        <v>0</v>
      </c>
      <c r="P103" s="127">
        <f t="shared" si="16"/>
        <v>0</v>
      </c>
      <c r="Q103" s="127">
        <f t="shared" si="10"/>
        <v>0</v>
      </c>
      <c r="R103" s="127">
        <f>($B$4*$B$8)*(IF(ABS('Chemical Properties'!I55)&gt;0,'Chemical Properties'!I55,'Chemical Properties'!I18))*$B$9*M17/(IF(ABS('Chemical Properties'!J55)&gt;0,'Chemical Properties'!J55,'Chemical Properties'!J18)+M17)</f>
        <v>0</v>
      </c>
      <c r="S103" s="130" t="e">
        <f t="shared" si="11"/>
        <v>#DIV/0!</v>
      </c>
      <c r="T103" s="130" t="e">
        <f t="shared" si="12"/>
        <v>#DIV/0!</v>
      </c>
      <c r="U103" s="130" t="e">
        <f t="shared" si="13"/>
        <v>#DIV/0!</v>
      </c>
      <c r="V103" s="142" t="e">
        <f t="shared" si="14"/>
        <v>#DIV/0!</v>
      </c>
      <c r="W103" s="130" t="e">
        <f t="shared" si="17"/>
        <v>#DIV/0!</v>
      </c>
    </row>
    <row r="104" spans="13:23">
      <c r="M104" s="64" t="s">
        <v>74</v>
      </c>
      <c r="N104" s="72">
        <f t="shared" si="9"/>
        <v>0</v>
      </c>
      <c r="O104" s="127">
        <f t="shared" si="15"/>
        <v>0</v>
      </c>
      <c r="P104" s="127">
        <f t="shared" si="16"/>
        <v>0</v>
      </c>
      <c r="Q104" s="127">
        <f t="shared" si="10"/>
        <v>0</v>
      </c>
      <c r="R104" s="127">
        <f>($B$4*$B$8)*(IF(ABS('Chemical Properties'!I56)&gt;0,'Chemical Properties'!I56,'Chemical Properties'!I19))*$B$9*M18/(IF(ABS('Chemical Properties'!J56)&gt;0,'Chemical Properties'!J56,'Chemical Properties'!J19)+M18)</f>
        <v>0</v>
      </c>
      <c r="S104" s="130" t="e">
        <f t="shared" si="11"/>
        <v>#DIV/0!</v>
      </c>
      <c r="T104" s="130" t="e">
        <f t="shared" si="12"/>
        <v>#DIV/0!</v>
      </c>
      <c r="U104" s="130" t="e">
        <f t="shared" si="13"/>
        <v>#DIV/0!</v>
      </c>
      <c r="V104" s="142" t="e">
        <f t="shared" si="14"/>
        <v>#DIV/0!</v>
      </c>
      <c r="W104" s="130" t="e">
        <f t="shared" si="17"/>
        <v>#DIV/0!</v>
      </c>
    </row>
    <row r="105" spans="13:23">
      <c r="M105" s="63" t="s">
        <v>75</v>
      </c>
      <c r="N105" s="72">
        <f t="shared" si="9"/>
        <v>0</v>
      </c>
      <c r="O105" s="127">
        <f t="shared" si="15"/>
        <v>0</v>
      </c>
      <c r="P105" s="127">
        <f t="shared" si="16"/>
        <v>0</v>
      </c>
      <c r="Q105" s="127">
        <f t="shared" si="10"/>
        <v>0</v>
      </c>
      <c r="R105" s="127">
        <f>($B$4*$B$8)*(IF(ABS('Chemical Properties'!I57)&gt;0,'Chemical Properties'!I57,'Chemical Properties'!I20))*$B$9*M19/(IF(ABS('Chemical Properties'!J57)&gt;0,'Chemical Properties'!J57,'Chemical Properties'!J20)+M19)</f>
        <v>0</v>
      </c>
      <c r="S105" s="130" t="e">
        <f t="shared" si="11"/>
        <v>#DIV/0!</v>
      </c>
      <c r="T105" s="130" t="e">
        <f t="shared" si="12"/>
        <v>#DIV/0!</v>
      </c>
      <c r="U105" s="130" t="e">
        <f t="shared" si="13"/>
        <v>#DIV/0!</v>
      </c>
      <c r="V105" s="142" t="e">
        <f t="shared" si="14"/>
        <v>#DIV/0!</v>
      </c>
      <c r="W105" s="130" t="e">
        <f t="shared" si="17"/>
        <v>#DIV/0!</v>
      </c>
    </row>
    <row r="106" spans="13:23">
      <c r="M106" s="64" t="s">
        <v>78</v>
      </c>
      <c r="N106" s="72">
        <f t="shared" si="9"/>
        <v>0</v>
      </c>
      <c r="O106" s="127">
        <f t="shared" si="15"/>
        <v>0</v>
      </c>
      <c r="P106" s="127">
        <f t="shared" si="16"/>
        <v>0</v>
      </c>
      <c r="Q106" s="127">
        <f t="shared" si="10"/>
        <v>0</v>
      </c>
      <c r="R106" s="127">
        <f>($B$4*$B$8)*(IF(ABS('Chemical Properties'!I58)&gt;0,'Chemical Properties'!I58,'Chemical Properties'!I21))*$B$9*M20/(IF(ABS('Chemical Properties'!J58)&gt;0,'Chemical Properties'!J58,'Chemical Properties'!J21)+M20)</f>
        <v>0</v>
      </c>
      <c r="S106" s="130" t="e">
        <f t="shared" si="11"/>
        <v>#DIV/0!</v>
      </c>
      <c r="T106" s="130" t="e">
        <f t="shared" si="12"/>
        <v>#DIV/0!</v>
      </c>
      <c r="U106" s="130" t="e">
        <f t="shared" si="13"/>
        <v>#DIV/0!</v>
      </c>
      <c r="V106" s="142" t="e">
        <f t="shared" si="14"/>
        <v>#DIV/0!</v>
      </c>
      <c r="W106" s="130" t="e">
        <f t="shared" si="17"/>
        <v>#DIV/0!</v>
      </c>
    </row>
    <row r="107" spans="13:23">
      <c r="M107" s="65" t="s">
        <v>14</v>
      </c>
      <c r="N107" s="72">
        <f t="shared" si="9"/>
        <v>0</v>
      </c>
      <c r="O107" s="127">
        <f t="shared" si="15"/>
        <v>0</v>
      </c>
      <c r="P107" s="127">
        <f t="shared" si="16"/>
        <v>0</v>
      </c>
      <c r="Q107" s="127">
        <f t="shared" si="10"/>
        <v>0</v>
      </c>
      <c r="R107" s="127">
        <f>($B$4*$B$8)*(IF(ABS('Chemical Properties'!I59)&gt;0,'Chemical Properties'!I59,'Chemical Properties'!I22))*$B$9*M21/(IF(ABS('Chemical Properties'!J59)&gt;0,'Chemical Properties'!J59,'Chemical Properties'!J22)+M21)</f>
        <v>0</v>
      </c>
      <c r="S107" s="130" t="e">
        <f t="shared" si="11"/>
        <v>#DIV/0!</v>
      </c>
      <c r="T107" s="130" t="e">
        <f t="shared" si="12"/>
        <v>#DIV/0!</v>
      </c>
      <c r="U107" s="130" t="e">
        <f t="shared" si="13"/>
        <v>#DIV/0!</v>
      </c>
      <c r="V107" s="142" t="e">
        <f t="shared" si="14"/>
        <v>#DIV/0!</v>
      </c>
      <c r="W107" s="130" t="e">
        <f t="shared" si="17"/>
        <v>#DIV/0!</v>
      </c>
    </row>
    <row r="108" spans="13:23">
      <c r="M108" s="65" t="s">
        <v>79</v>
      </c>
      <c r="N108" s="72">
        <f t="shared" si="9"/>
        <v>0</v>
      </c>
      <c r="O108" s="127">
        <f t="shared" si="15"/>
        <v>0</v>
      </c>
      <c r="P108" s="127">
        <f t="shared" si="16"/>
        <v>0</v>
      </c>
      <c r="Q108" s="127">
        <f t="shared" si="10"/>
        <v>0</v>
      </c>
      <c r="R108" s="127">
        <f>($B$4*$B$8)*(IF(ABS('Chemical Properties'!I60)&gt;0,'Chemical Properties'!I60,'Chemical Properties'!I23))*$B$9*M22/(IF(ABS('Chemical Properties'!J60)&gt;0,'Chemical Properties'!J60,'Chemical Properties'!J23)+M22)</f>
        <v>0</v>
      </c>
      <c r="S108" s="130" t="e">
        <f t="shared" si="11"/>
        <v>#DIV/0!</v>
      </c>
      <c r="T108" s="130" t="e">
        <f t="shared" si="12"/>
        <v>#DIV/0!</v>
      </c>
      <c r="U108" s="130" t="e">
        <f t="shared" si="13"/>
        <v>#DIV/0!</v>
      </c>
      <c r="V108" s="142" t="e">
        <f t="shared" si="14"/>
        <v>#DIV/0!</v>
      </c>
      <c r="W108" s="130" t="e">
        <f t="shared" si="17"/>
        <v>#DIV/0!</v>
      </c>
    </row>
    <row r="109" spans="13:23">
      <c r="M109" s="65" t="s">
        <v>15</v>
      </c>
      <c r="N109" s="72">
        <f t="shared" si="9"/>
        <v>0</v>
      </c>
      <c r="O109" s="127">
        <f t="shared" si="15"/>
        <v>0</v>
      </c>
      <c r="P109" s="127">
        <f t="shared" si="16"/>
        <v>0</v>
      </c>
      <c r="Q109" s="127">
        <f t="shared" si="10"/>
        <v>0</v>
      </c>
      <c r="R109" s="127">
        <f>($B$4*$B$8)*(IF(ABS('Chemical Properties'!I61)&gt;0,'Chemical Properties'!I61,'Chemical Properties'!I24))*$B$9*M23/(IF(ABS('Chemical Properties'!J61)&gt;0,'Chemical Properties'!J61,'Chemical Properties'!J24)+M23)</f>
        <v>0</v>
      </c>
      <c r="S109" s="130" t="e">
        <f t="shared" si="11"/>
        <v>#DIV/0!</v>
      </c>
      <c r="T109" s="130" t="e">
        <f t="shared" si="12"/>
        <v>#DIV/0!</v>
      </c>
      <c r="U109" s="130" t="e">
        <f t="shared" si="13"/>
        <v>#DIV/0!</v>
      </c>
      <c r="V109" s="142" t="e">
        <f t="shared" si="14"/>
        <v>#DIV/0!</v>
      </c>
      <c r="W109" s="130" t="e">
        <f t="shared" si="17"/>
        <v>#DIV/0!</v>
      </c>
    </row>
    <row r="110" spans="13:23">
      <c r="M110" s="65" t="s">
        <v>80</v>
      </c>
      <c r="N110" s="72">
        <f t="shared" si="9"/>
        <v>0</v>
      </c>
      <c r="O110" s="127">
        <f t="shared" si="15"/>
        <v>0</v>
      </c>
      <c r="P110" s="127">
        <f t="shared" si="16"/>
        <v>0</v>
      </c>
      <c r="Q110" s="127">
        <f t="shared" si="10"/>
        <v>0</v>
      </c>
      <c r="R110" s="127">
        <f>($B$4*$B$8)*(IF(ABS('Chemical Properties'!I62)&gt;0,'Chemical Properties'!I62,'Chemical Properties'!I25))*$B$9*M24/(IF(ABS('Chemical Properties'!J62)&gt;0,'Chemical Properties'!J62,'Chemical Properties'!J25)+M24)</f>
        <v>0</v>
      </c>
      <c r="S110" s="130" t="e">
        <f t="shared" si="11"/>
        <v>#DIV/0!</v>
      </c>
      <c r="T110" s="130" t="e">
        <f t="shared" si="12"/>
        <v>#DIV/0!</v>
      </c>
      <c r="U110" s="130" t="e">
        <f t="shared" si="13"/>
        <v>#DIV/0!</v>
      </c>
      <c r="V110" s="142" t="e">
        <f t="shared" si="14"/>
        <v>#DIV/0!</v>
      </c>
      <c r="W110" s="130" t="e">
        <f t="shared" si="17"/>
        <v>#DIV/0!</v>
      </c>
    </row>
    <row r="111" spans="13:23">
      <c r="M111" s="65" t="s">
        <v>59</v>
      </c>
      <c r="N111" s="72">
        <f>$B$7*B42</f>
        <v>0</v>
      </c>
      <c r="O111" s="127" t="e">
        <f>M25*($B$7-$B$12)</f>
        <v>#DIV/0!</v>
      </c>
      <c r="P111" s="127" t="e">
        <f>K25</f>
        <v>#DIV/0!</v>
      </c>
      <c r="Q111" s="127" t="e">
        <f>$B$12*M25*AA69*$B$15</f>
        <v>#DIV/0!</v>
      </c>
      <c r="R111" s="127" t="e">
        <f>($B$4*$B$8)*(IF(ABS('Chemical Properties'!I63)&gt;0,'Chemical Properties'!I63,'Chemical Properties'!I26))*$B$9*M25/(IF(ABS('Chemical Properties'!J63)&gt;0,'Chemical Properties'!J63,'Chemical Properties'!J26)+M25)</f>
        <v>#DIV/0!</v>
      </c>
      <c r="S111" s="130" t="e">
        <f>O111/N111*100</f>
        <v>#DIV/0!</v>
      </c>
      <c r="T111" s="130" t="e">
        <f>P111/N111*100</f>
        <v>#DIV/0!</v>
      </c>
      <c r="U111" s="130" t="e">
        <f>R111/N111*100</f>
        <v>#DIV/0!</v>
      </c>
      <c r="V111" s="142" t="e">
        <f>Q111/N111*100</f>
        <v>#DIV/0!</v>
      </c>
      <c r="W111" s="130" t="e">
        <f>(O111+P111+Q111+R111)/N111*100</f>
        <v>#DIV/0!</v>
      </c>
    </row>
    <row r="112" spans="13:23">
      <c r="M112" s="81" t="s">
        <v>60</v>
      </c>
      <c r="N112" s="72">
        <f>$B$7*B43</f>
        <v>0</v>
      </c>
      <c r="O112" s="127" t="e">
        <f>M26*($B$7-$B$12)</f>
        <v>#DIV/0!</v>
      </c>
      <c r="P112" s="127" t="e">
        <f>K26</f>
        <v>#DIV/0!</v>
      </c>
      <c r="Q112" s="127" t="e">
        <f>$B$12*M26*AA70*$B$15</f>
        <v>#DIV/0!</v>
      </c>
      <c r="R112" s="127" t="e">
        <f>($B$4*$B$8)*(IF(ABS('Chemical Properties'!I64)&gt;0,'Chemical Properties'!I64,'Chemical Properties'!I27))*$B$9*M26/(IF(ABS('Chemical Properties'!J64)&gt;0,'Chemical Properties'!J64,'Chemical Properties'!J27)+M26)</f>
        <v>#DIV/0!</v>
      </c>
      <c r="S112" s="130" t="e">
        <f>O112/N112*100</f>
        <v>#DIV/0!</v>
      </c>
      <c r="T112" s="130" t="e">
        <f>P112/N112*100</f>
        <v>#DIV/0!</v>
      </c>
      <c r="U112" s="130" t="e">
        <f>R112/N112*100</f>
        <v>#DIV/0!</v>
      </c>
      <c r="V112" s="142" t="e">
        <f>Q112/N112*100</f>
        <v>#DIV/0!</v>
      </c>
      <c r="W112" s="130" t="e">
        <f>(O112+P112+Q112+R112)/N112*100</f>
        <v>#DIV/0!</v>
      </c>
    </row>
    <row r="113" spans="13:23">
      <c r="M113" s="65" t="s">
        <v>61</v>
      </c>
      <c r="N113" s="72">
        <f>$B$7*B44</f>
        <v>0</v>
      </c>
      <c r="O113" s="127" t="e">
        <f>M27*($B$7-$B$12)</f>
        <v>#DIV/0!</v>
      </c>
      <c r="P113" s="127" t="e">
        <f>K27</f>
        <v>#DIV/0!</v>
      </c>
      <c r="Q113" s="127" t="e">
        <f>$B$12*M27*AA71*$B$15</f>
        <v>#DIV/0!</v>
      </c>
      <c r="R113" s="127" t="e">
        <f>($B$4*$B$8)*(IF(ABS('Chemical Properties'!I65)&gt;0,'Chemical Properties'!I65,'Chemical Properties'!I28))*$B$9*M27/(IF(ABS('Chemical Properties'!J65)&gt;0,'Chemical Properties'!J65,'Chemical Properties'!J28)+M27)</f>
        <v>#DIV/0!</v>
      </c>
      <c r="S113" s="130" t="e">
        <f>O113/N113*100</f>
        <v>#DIV/0!</v>
      </c>
      <c r="T113" s="130" t="e">
        <f>P113/N113*100</f>
        <v>#DIV/0!</v>
      </c>
      <c r="U113" s="130" t="e">
        <f>R113/N113*100</f>
        <v>#DIV/0!</v>
      </c>
      <c r="V113" s="142" t="e">
        <f>Q113/N113*100</f>
        <v>#DIV/0!</v>
      </c>
      <c r="W113" s="130" t="e">
        <f>(O113+P113+Q113+R113)/N113*100</f>
        <v>#DIV/0!</v>
      </c>
    </row>
    <row r="114" spans="13:23">
      <c r="M114" s="65" t="s">
        <v>256</v>
      </c>
      <c r="N114" s="72">
        <f>$B$7*B45</f>
        <v>0</v>
      </c>
      <c r="O114" s="127">
        <f>M28*($B$7-$B$12)</f>
        <v>0</v>
      </c>
      <c r="P114" s="127">
        <f>K28</f>
        <v>0</v>
      </c>
      <c r="Q114" s="127">
        <f>$B$12*M28*AA72*$B$15</f>
        <v>0</v>
      </c>
      <c r="R114" s="127">
        <f>($B$4*$B$8)*(IF(ABS('Chemical Properties'!I66)&gt;0,'Chemical Properties'!I66,'Chemical Properties'!I29))*$B$9*M28/(IF(ABS('Chemical Properties'!J66)&gt;0,'Chemical Properties'!J66,'Chemical Properties'!J29)+M28)</f>
        <v>0</v>
      </c>
      <c r="S114" s="130" t="e">
        <f>O114/N114*100</f>
        <v>#DIV/0!</v>
      </c>
      <c r="T114" s="130" t="e">
        <f>P114/N114*100</f>
        <v>#DIV/0!</v>
      </c>
      <c r="U114" s="130" t="e">
        <f>R114/N114*100</f>
        <v>#DIV/0!</v>
      </c>
      <c r="V114" s="142" t="e">
        <f>Q114/N114*100</f>
        <v>#DIV/0!</v>
      </c>
      <c r="W114" s="130" t="e">
        <f>(O114+P114+Q114+R114)/N114*100</f>
        <v>#DIV/0!</v>
      </c>
    </row>
    <row r="116" spans="13:23">
      <c r="M116" s="91"/>
      <c r="N116" s="223"/>
      <c r="O116" s="255"/>
      <c r="P116" s="255"/>
      <c r="Q116" s="255"/>
      <c r="R116" s="255"/>
      <c r="S116" s="256"/>
      <c r="T116" s="256"/>
      <c r="U116" s="256"/>
      <c r="V116" s="260"/>
      <c r="W116" s="256"/>
    </row>
  </sheetData>
  <mergeCells count="4">
    <mergeCell ref="A19:C19"/>
    <mergeCell ref="I46:K46"/>
    <mergeCell ref="A1:E1"/>
    <mergeCell ref="M87:T87"/>
  </mergeCells>
  <phoneticPr fontId="5" type="noConversion"/>
  <pageMargins left="1.5" right="2.86" top="1" bottom="1" header="0.5" footer="0.5"/>
  <pageSetup scale="11" orientation="portrait" r:id="rId1"/>
  <headerFooter alignWithMargins="0"/>
</worksheet>
</file>

<file path=xl/worksheets/sheet9.xml><?xml version="1.0" encoding="utf-8"?>
<worksheet xmlns="http://schemas.openxmlformats.org/spreadsheetml/2006/main" xmlns:r="http://schemas.openxmlformats.org/officeDocument/2006/relationships">
  <sheetPr>
    <tabColor rgb="FF7030A0"/>
    <pageSetUpPr fitToPage="1"/>
  </sheetPr>
  <dimension ref="A1:AD116"/>
  <sheetViews>
    <sheetView workbookViewId="0">
      <selection activeCell="B3" sqref="B3"/>
    </sheetView>
  </sheetViews>
  <sheetFormatPr defaultRowHeight="12.75"/>
  <cols>
    <col min="1" max="1" width="57" style="57" customWidth="1"/>
    <col min="2" max="3" width="9.140625" style="57"/>
    <col min="4" max="4" width="2.42578125" style="57" customWidth="1"/>
    <col min="5" max="5" width="70.140625" style="57" customWidth="1"/>
    <col min="6" max="6" width="9.140625" style="57"/>
    <col min="7" max="7" width="13.42578125" style="57" customWidth="1"/>
    <col min="8" max="8" width="19.7109375" style="57" customWidth="1"/>
    <col min="9" max="9" width="3.85546875" style="57" customWidth="1"/>
    <col min="10" max="10" width="31.42578125" style="57" customWidth="1"/>
    <col min="11" max="11" width="10.5703125" style="57" bestFit="1" customWidth="1"/>
    <col min="12" max="12" width="9.140625" style="57"/>
    <col min="13" max="13" width="35.140625" style="57" customWidth="1"/>
    <col min="14" max="15" width="10" style="57" bestFit="1" customWidth="1"/>
    <col min="16" max="16" width="12.5703125" style="57" bestFit="1" customWidth="1"/>
    <col min="17" max="17" width="10.5703125" style="57" bestFit="1" customWidth="1"/>
    <col min="18" max="18" width="14.85546875" style="57" customWidth="1"/>
    <col min="19" max="19" width="9.42578125" style="57" bestFit="1" customWidth="1"/>
    <col min="20" max="20" width="10" style="57" bestFit="1" customWidth="1"/>
    <col min="21" max="22" width="12.7109375" style="57" bestFit="1" customWidth="1"/>
    <col min="23" max="24" width="12.5703125" style="57" bestFit="1" customWidth="1"/>
    <col min="25" max="25" width="11.140625" style="57" bestFit="1" customWidth="1"/>
    <col min="26" max="26" width="10.5703125" style="57" bestFit="1" customWidth="1"/>
    <col min="27" max="28" width="10" style="57" bestFit="1" customWidth="1"/>
    <col min="29" max="29" width="10.5703125" style="57" bestFit="1" customWidth="1"/>
    <col min="30" max="30" width="10.7109375" style="57" bestFit="1" customWidth="1"/>
    <col min="31" max="16384" width="9.140625" style="57"/>
  </cols>
  <sheetData>
    <row r="1" spans="1:16" ht="40.5" customHeight="1">
      <c r="A1" s="286" t="s">
        <v>270</v>
      </c>
      <c r="B1" s="285"/>
      <c r="C1" s="285"/>
      <c r="D1" s="285"/>
      <c r="E1" s="285"/>
    </row>
    <row r="2" spans="1:16">
      <c r="A2" s="68" t="s">
        <v>127</v>
      </c>
      <c r="B2" s="68" t="s">
        <v>4</v>
      </c>
      <c r="C2" s="68" t="s">
        <v>5</v>
      </c>
      <c r="D2" s="86"/>
      <c r="E2" s="68" t="s">
        <v>24</v>
      </c>
      <c r="F2" s="68" t="s">
        <v>4</v>
      </c>
      <c r="G2" s="68" t="s">
        <v>5</v>
      </c>
      <c r="H2" s="68" t="s">
        <v>57</v>
      </c>
      <c r="I2" s="86"/>
      <c r="J2" s="68" t="s">
        <v>22</v>
      </c>
      <c r="K2" s="68" t="s">
        <v>4</v>
      </c>
      <c r="L2" s="68" t="s">
        <v>5</v>
      </c>
      <c r="M2" s="68" t="s">
        <v>32</v>
      </c>
      <c r="N2" s="68" t="s">
        <v>5</v>
      </c>
      <c r="O2" s="69"/>
    </row>
    <row r="3" spans="1:16" ht="15.75">
      <c r="A3" s="56" t="s">
        <v>122</v>
      </c>
      <c r="B3" s="70">
        <v>1225</v>
      </c>
      <c r="C3" s="59" t="s">
        <v>1</v>
      </c>
      <c r="D3" s="58"/>
      <c r="E3" s="71" t="s">
        <v>164</v>
      </c>
      <c r="F3" s="75">
        <f>H3</f>
        <v>8.9300000000000004E-3</v>
      </c>
      <c r="G3" s="72" t="s">
        <v>25</v>
      </c>
      <c r="H3" s="96">
        <v>8.9300000000000004E-3</v>
      </c>
      <c r="I3" s="58"/>
      <c r="J3" s="60" t="s">
        <v>17</v>
      </c>
      <c r="K3" s="233">
        <f>IF(ABS(W47*M3*$B$3)&gt;N89,N89,(W47*M3*$B$3))</f>
        <v>5.67695419062855E-3</v>
      </c>
      <c r="L3" s="121" t="s">
        <v>23</v>
      </c>
      <c r="M3" s="173">
        <f>IF(ABS($B$12)&gt;0,(-Y47+((Y47^(2)-4*X47*Z47)^(0.5)))/(2*X47),((-AC47+(AC47^(2)-4*AB47*AD47)^(0.5))/(2*AB47)))</f>
        <v>0.42813605595282239</v>
      </c>
      <c r="N3" s="59" t="s">
        <v>18</v>
      </c>
    </row>
    <row r="4" spans="1:16" ht="15.75">
      <c r="A4" s="71" t="s">
        <v>123</v>
      </c>
      <c r="B4" s="73">
        <v>25</v>
      </c>
      <c r="C4" s="59" t="s">
        <v>37</v>
      </c>
      <c r="D4" s="58"/>
      <c r="E4" s="71" t="s">
        <v>34</v>
      </c>
      <c r="F4" s="75">
        <f>H4</f>
        <v>1</v>
      </c>
      <c r="G4" s="72" t="s">
        <v>26</v>
      </c>
      <c r="H4" s="96">
        <v>1</v>
      </c>
      <c r="I4" s="58"/>
      <c r="J4" s="62" t="s">
        <v>6</v>
      </c>
      <c r="K4" s="233">
        <f t="shared" ref="K4:K24" si="0">IF(ABS(W48*M4*$B$3)&gt;N90,N90,(W48*M4*$B$3))</f>
        <v>0.29197199513472583</v>
      </c>
      <c r="L4" s="121" t="s">
        <v>23</v>
      </c>
      <c r="M4" s="173">
        <f t="shared" ref="M4:M24" si="1">IF(ABS($B$12)&gt;0,(-Y48+((Y48^(2)-4*X48*Z48)^(0.5)))/(2*X48),((-AC48+(AC48^(2)-4*AB48*AD48)^(0.5))/(2*AB48)))</f>
        <v>6.5025771567319604E-2</v>
      </c>
      <c r="N4" s="59" t="s">
        <v>18</v>
      </c>
      <c r="P4" s="106"/>
    </row>
    <row r="5" spans="1:16" ht="15.75">
      <c r="A5" s="71" t="s">
        <v>130</v>
      </c>
      <c r="B5" s="87">
        <v>1</v>
      </c>
      <c r="C5" s="82" t="s">
        <v>3</v>
      </c>
      <c r="D5" s="58"/>
      <c r="E5" s="71" t="s">
        <v>36</v>
      </c>
      <c r="F5" s="75">
        <f>H5</f>
        <v>8.2100000000000003E-5</v>
      </c>
      <c r="G5" s="72" t="s">
        <v>162</v>
      </c>
      <c r="H5" s="96">
        <v>8.2100000000000003E-5</v>
      </c>
      <c r="I5" s="58"/>
      <c r="J5" s="62" t="s">
        <v>13</v>
      </c>
      <c r="K5" s="233">
        <f t="shared" si="0"/>
        <v>0.48008293443072192</v>
      </c>
      <c r="L5" s="121" t="s">
        <v>23</v>
      </c>
      <c r="M5" s="173">
        <f t="shared" si="1"/>
        <v>7.1391335583708818E-2</v>
      </c>
      <c r="N5" s="59" t="s">
        <v>18</v>
      </c>
      <c r="P5" s="106"/>
    </row>
    <row r="6" spans="1:16" ht="15.75">
      <c r="A6" s="56" t="s">
        <v>124</v>
      </c>
      <c r="B6" s="70">
        <v>1</v>
      </c>
      <c r="C6" s="59" t="s">
        <v>19</v>
      </c>
      <c r="D6" s="58"/>
      <c r="E6" s="71" t="s">
        <v>163</v>
      </c>
      <c r="F6" s="75">
        <f>H6</f>
        <v>1.8100000000000001E-4</v>
      </c>
      <c r="G6" s="72" t="s">
        <v>25</v>
      </c>
      <c r="H6" s="96">
        <v>1.8100000000000001E-4</v>
      </c>
      <c r="I6" s="58"/>
      <c r="J6" s="60" t="s">
        <v>69</v>
      </c>
      <c r="K6" s="233">
        <f t="shared" si="0"/>
        <v>4.6700533495052016E-2</v>
      </c>
      <c r="L6" s="121" t="s">
        <v>23</v>
      </c>
      <c r="M6" s="173">
        <f t="shared" si="1"/>
        <v>0.41957334442491717</v>
      </c>
      <c r="N6" s="59" t="s">
        <v>18</v>
      </c>
      <c r="P6" s="106"/>
    </row>
    <row r="7" spans="1:16" ht="15.75">
      <c r="A7" s="56" t="s">
        <v>131</v>
      </c>
      <c r="B7" s="74">
        <v>7</v>
      </c>
      <c r="C7" s="59" t="s">
        <v>46</v>
      </c>
      <c r="D7" s="58"/>
      <c r="E7" s="71" t="s">
        <v>27</v>
      </c>
      <c r="F7" s="75">
        <f>H7</f>
        <v>1.1999999999999999E-3</v>
      </c>
      <c r="G7" s="72" t="s">
        <v>26</v>
      </c>
      <c r="H7" s="96">
        <v>1.1999999999999999E-3</v>
      </c>
      <c r="I7" s="58"/>
      <c r="J7" s="62" t="s">
        <v>9</v>
      </c>
      <c r="K7" s="233">
        <f t="shared" si="0"/>
        <v>7.7778836697685885E-2</v>
      </c>
      <c r="L7" s="121" t="s">
        <v>23</v>
      </c>
      <c r="M7" s="173">
        <f t="shared" si="1"/>
        <v>0.10760373923288699</v>
      </c>
      <c r="N7" s="59" t="s">
        <v>18</v>
      </c>
      <c r="P7" s="106"/>
    </row>
    <row r="8" spans="1:16" ht="15.75">
      <c r="A8" s="56" t="s">
        <v>125</v>
      </c>
      <c r="B8" s="74">
        <v>300</v>
      </c>
      <c r="C8" s="72" t="s">
        <v>38</v>
      </c>
      <c r="D8" s="58"/>
      <c r="E8" s="71" t="s">
        <v>138</v>
      </c>
      <c r="F8" s="75">
        <f t="shared" ref="F8:F13" si="2">H8</f>
        <v>725</v>
      </c>
      <c r="G8" s="59" t="s">
        <v>1</v>
      </c>
      <c r="H8" s="96">
        <f>B3-B13</f>
        <v>725</v>
      </c>
      <c r="I8" s="58"/>
      <c r="J8" s="63" t="s">
        <v>7</v>
      </c>
      <c r="K8" s="233">
        <f t="shared" si="0"/>
        <v>0.18869327171652264</v>
      </c>
      <c r="L8" s="121" t="s">
        <v>23</v>
      </c>
      <c r="M8" s="173">
        <f t="shared" si="1"/>
        <v>3.6356311579478336E-2</v>
      </c>
      <c r="N8" s="59" t="s">
        <v>18</v>
      </c>
      <c r="P8" s="106"/>
    </row>
    <row r="9" spans="1:16" ht="15.75">
      <c r="A9" s="56" t="s">
        <v>126</v>
      </c>
      <c r="B9" s="74">
        <v>5</v>
      </c>
      <c r="C9" s="72" t="s">
        <v>52</v>
      </c>
      <c r="D9" s="58"/>
      <c r="E9" s="71" t="s">
        <v>42</v>
      </c>
      <c r="F9" s="75">
        <f t="shared" si="2"/>
        <v>0.83</v>
      </c>
      <c r="G9" s="59" t="s">
        <v>43</v>
      </c>
      <c r="H9" s="96">
        <v>0.83</v>
      </c>
      <c r="I9" s="58"/>
      <c r="J9" s="62" t="s">
        <v>8</v>
      </c>
      <c r="K9" s="233">
        <f t="shared" si="0"/>
        <v>0.2221636118104581</v>
      </c>
      <c r="L9" s="121" t="s">
        <v>23</v>
      </c>
      <c r="M9" s="173">
        <f t="shared" si="1"/>
        <v>4.8579894095746062E-2</v>
      </c>
      <c r="N9" s="59" t="s">
        <v>18</v>
      </c>
      <c r="P9" s="106"/>
    </row>
    <row r="10" spans="1:16" ht="15.75">
      <c r="A10" s="71" t="s">
        <v>135</v>
      </c>
      <c r="B10" s="74">
        <v>3000</v>
      </c>
      <c r="C10" s="59" t="s">
        <v>18</v>
      </c>
      <c r="D10" s="58"/>
      <c r="E10" s="71" t="s">
        <v>44</v>
      </c>
      <c r="F10" s="75">
        <f t="shared" si="2"/>
        <v>3</v>
      </c>
      <c r="G10" s="59" t="s">
        <v>45</v>
      </c>
      <c r="H10" s="96">
        <v>3</v>
      </c>
      <c r="I10" s="58"/>
      <c r="J10" s="62" t="s">
        <v>11</v>
      </c>
      <c r="K10" s="233">
        <f t="shared" si="0"/>
        <v>0.60355276721026119</v>
      </c>
      <c r="L10" s="121" t="s">
        <v>23</v>
      </c>
      <c r="M10" s="173">
        <f t="shared" si="1"/>
        <v>0.20955977079607341</v>
      </c>
      <c r="N10" s="59" t="s">
        <v>18</v>
      </c>
      <c r="P10" s="106"/>
    </row>
    <row r="11" spans="1:16" ht="15.75">
      <c r="A11" s="56" t="s">
        <v>56</v>
      </c>
      <c r="B11" s="75">
        <v>4.47</v>
      </c>
      <c r="C11" s="59" t="s">
        <v>0</v>
      </c>
      <c r="D11" s="58"/>
      <c r="E11" s="71" t="s">
        <v>47</v>
      </c>
      <c r="F11" s="75">
        <f t="shared" si="2"/>
        <v>61</v>
      </c>
      <c r="G11" s="59" t="s">
        <v>2</v>
      </c>
      <c r="H11" s="96">
        <v>61</v>
      </c>
      <c r="I11" s="58"/>
      <c r="J11" s="63" t="s">
        <v>70</v>
      </c>
      <c r="K11" s="233">
        <f t="shared" si="0"/>
        <v>0.56224867176529603</v>
      </c>
      <c r="L11" s="121" t="s">
        <v>23</v>
      </c>
      <c r="M11" s="173">
        <f t="shared" si="1"/>
        <v>7.4629627422311023E-2</v>
      </c>
      <c r="N11" s="59" t="s">
        <v>18</v>
      </c>
      <c r="P11" s="106"/>
    </row>
    <row r="12" spans="1:16" ht="15.75">
      <c r="A12" s="71" t="s">
        <v>141</v>
      </c>
      <c r="B12" s="75">
        <v>0.1</v>
      </c>
      <c r="C12" s="59" t="s">
        <v>19</v>
      </c>
      <c r="D12" s="58"/>
      <c r="E12" s="71" t="s">
        <v>48</v>
      </c>
      <c r="F12" s="75">
        <f t="shared" si="2"/>
        <v>2</v>
      </c>
      <c r="G12" s="59" t="s">
        <v>49</v>
      </c>
      <c r="H12" s="96">
        <v>2</v>
      </c>
      <c r="I12" s="58"/>
      <c r="J12" s="63" t="s">
        <v>16</v>
      </c>
      <c r="K12" s="233">
        <f t="shared" si="0"/>
        <v>4.0560678360765911E-6</v>
      </c>
      <c r="L12" s="121" t="s">
        <v>23</v>
      </c>
      <c r="M12" s="173">
        <f t="shared" si="1"/>
        <v>0.75079248343809557</v>
      </c>
      <c r="N12" s="59" t="s">
        <v>18</v>
      </c>
      <c r="P12" s="106"/>
    </row>
    <row r="13" spans="1:16" ht="15.75">
      <c r="A13" s="71" t="s">
        <v>139</v>
      </c>
      <c r="B13" s="75">
        <v>500</v>
      </c>
      <c r="C13" s="59" t="s">
        <v>1</v>
      </c>
      <c r="D13" s="58"/>
      <c r="E13" s="71" t="s">
        <v>50</v>
      </c>
      <c r="F13" s="75">
        <f t="shared" si="2"/>
        <v>126</v>
      </c>
      <c r="G13" s="59" t="s">
        <v>51</v>
      </c>
      <c r="H13" s="96">
        <v>126</v>
      </c>
      <c r="I13" s="58"/>
      <c r="J13" s="60" t="s">
        <v>71</v>
      </c>
      <c r="K13" s="233">
        <f t="shared" si="0"/>
        <v>6.4349706920160565E-2</v>
      </c>
      <c r="L13" s="121" t="s">
        <v>23</v>
      </c>
      <c r="M13" s="173">
        <f t="shared" si="1"/>
        <v>0.25293915621571428</v>
      </c>
      <c r="N13" s="59" t="s">
        <v>18</v>
      </c>
      <c r="P13" s="106"/>
    </row>
    <row r="14" spans="1:16" ht="15.75">
      <c r="A14" s="99" t="s">
        <v>147</v>
      </c>
      <c r="B14" s="75">
        <v>250</v>
      </c>
      <c r="C14" s="59" t="s">
        <v>18</v>
      </c>
      <c r="D14" s="58"/>
      <c r="E14" s="56" t="s">
        <v>90</v>
      </c>
      <c r="F14" s="97">
        <v>8.4999999999999999E-6</v>
      </c>
      <c r="G14" s="59" t="s">
        <v>89</v>
      </c>
      <c r="H14" s="98">
        <v>8.4999999999999999E-6</v>
      </c>
      <c r="I14" s="58"/>
      <c r="J14" s="62" t="s">
        <v>12</v>
      </c>
      <c r="K14" s="233">
        <f t="shared" si="0"/>
        <v>0.20146194933766662</v>
      </c>
      <c r="L14" s="121" t="s">
        <v>23</v>
      </c>
      <c r="M14" s="173">
        <f t="shared" si="1"/>
        <v>4.3975669354736707E-2</v>
      </c>
      <c r="N14" s="59" t="s">
        <v>18</v>
      </c>
      <c r="P14" s="106"/>
    </row>
    <row r="15" spans="1:16" ht="15.75">
      <c r="A15" s="71" t="s">
        <v>166</v>
      </c>
      <c r="B15" s="75">
        <v>15000</v>
      </c>
      <c r="C15" s="59" t="s">
        <v>18</v>
      </c>
      <c r="D15" s="58"/>
      <c r="E15" s="71" t="s">
        <v>85</v>
      </c>
      <c r="F15" s="75">
        <f>H15</f>
        <v>0.33</v>
      </c>
      <c r="G15" s="59" t="s">
        <v>43</v>
      </c>
      <c r="H15" s="96">
        <v>0.33</v>
      </c>
      <c r="I15" s="58"/>
      <c r="J15" s="62" t="s">
        <v>10</v>
      </c>
      <c r="K15" s="233">
        <f t="shared" si="0"/>
        <v>9.2122872542941724E-6</v>
      </c>
      <c r="L15" s="121" t="s">
        <v>23</v>
      </c>
      <c r="M15" s="173">
        <f t="shared" si="1"/>
        <v>1.067564790765513E-2</v>
      </c>
      <c r="N15" s="59" t="s">
        <v>18</v>
      </c>
      <c r="P15" s="106"/>
    </row>
    <row r="16" spans="1:16" ht="14.25">
      <c r="D16" s="58"/>
      <c r="E16" s="71" t="s">
        <v>148</v>
      </c>
      <c r="F16" s="75">
        <f>H16</f>
        <v>0.67</v>
      </c>
      <c r="G16" s="120" t="s">
        <v>149</v>
      </c>
      <c r="H16" s="96">
        <v>0.67</v>
      </c>
      <c r="I16" s="58"/>
      <c r="J16" s="63" t="s">
        <v>72</v>
      </c>
      <c r="K16" s="233">
        <f t="shared" si="0"/>
        <v>0.32067415613583528</v>
      </c>
      <c r="L16" s="121" t="s">
        <v>23</v>
      </c>
      <c r="M16" s="173">
        <f t="shared" si="1"/>
        <v>4.9541217619129552E-2</v>
      </c>
      <c r="N16" s="59" t="s">
        <v>18</v>
      </c>
      <c r="P16" s="106"/>
    </row>
    <row r="17" spans="1:16" ht="14.25">
      <c r="D17" s="58"/>
      <c r="H17" s="89"/>
      <c r="I17" s="58"/>
      <c r="J17" s="63" t="s">
        <v>73</v>
      </c>
      <c r="K17" s="233">
        <f t="shared" si="0"/>
        <v>2.6452531446324841E-5</v>
      </c>
      <c r="L17" s="121" t="s">
        <v>23</v>
      </c>
      <c r="M17" s="173">
        <f t="shared" si="1"/>
        <v>8.2203730494104232E-3</v>
      </c>
      <c r="N17" s="59" t="s">
        <v>18</v>
      </c>
      <c r="P17" s="106"/>
    </row>
    <row r="18" spans="1:16" ht="15">
      <c r="A18" s="283" t="s">
        <v>102</v>
      </c>
      <c r="B18" s="293"/>
      <c r="C18" s="293"/>
      <c r="D18" s="58"/>
      <c r="H18" s="89"/>
      <c r="I18" s="58"/>
      <c r="J18" s="64" t="s">
        <v>74</v>
      </c>
      <c r="K18" s="233">
        <f t="shared" si="0"/>
        <v>0.2373173940300782</v>
      </c>
      <c r="L18" s="121" t="s">
        <v>23</v>
      </c>
      <c r="M18" s="173">
        <f t="shared" si="1"/>
        <v>5.4159054998431586E-2</v>
      </c>
      <c r="N18" s="59" t="s">
        <v>18</v>
      </c>
      <c r="P18" s="106"/>
    </row>
    <row r="19" spans="1:16" ht="14.25">
      <c r="A19" s="60" t="s">
        <v>17</v>
      </c>
      <c r="B19" s="76">
        <v>1</v>
      </c>
      <c r="C19" s="59" t="s">
        <v>18</v>
      </c>
      <c r="D19" s="58"/>
      <c r="I19" s="58"/>
      <c r="J19" s="63" t="s">
        <v>75</v>
      </c>
      <c r="K19" s="233">
        <f t="shared" si="0"/>
        <v>0.15054628465352526</v>
      </c>
      <c r="L19" s="121" t="s">
        <v>23</v>
      </c>
      <c r="M19" s="173">
        <f t="shared" si="1"/>
        <v>0.1419915599819731</v>
      </c>
      <c r="N19" s="59" t="s">
        <v>18</v>
      </c>
      <c r="P19" s="106"/>
    </row>
    <row r="20" spans="1:16" ht="14.25">
      <c r="A20" s="62" t="s">
        <v>6</v>
      </c>
      <c r="B20" s="76">
        <v>1</v>
      </c>
      <c r="C20" s="59" t="s">
        <v>18</v>
      </c>
      <c r="D20" s="58"/>
      <c r="I20" s="58"/>
      <c r="J20" s="64" t="s">
        <v>78</v>
      </c>
      <c r="K20" s="233">
        <f t="shared" si="0"/>
        <v>2.9477699803527734E-2</v>
      </c>
      <c r="L20" s="121" t="s">
        <v>23</v>
      </c>
      <c r="M20" s="173">
        <f t="shared" si="1"/>
        <v>7.9490708762964032E-2</v>
      </c>
      <c r="N20" s="59" t="s">
        <v>18</v>
      </c>
      <c r="P20" s="106"/>
    </row>
    <row r="21" spans="1:16" ht="14.25">
      <c r="A21" s="62" t="s">
        <v>13</v>
      </c>
      <c r="B21" s="76">
        <v>1</v>
      </c>
      <c r="C21" s="59" t="s">
        <v>18</v>
      </c>
      <c r="D21" s="58"/>
      <c r="I21" s="58"/>
      <c r="J21" s="65" t="s">
        <v>14</v>
      </c>
      <c r="K21" s="233">
        <f t="shared" si="0"/>
        <v>0.52455696271382635</v>
      </c>
      <c r="L21" s="121" t="s">
        <v>23</v>
      </c>
      <c r="M21" s="173">
        <f t="shared" si="1"/>
        <v>6.541827837422283E-2</v>
      </c>
      <c r="N21" s="59" t="s">
        <v>18</v>
      </c>
      <c r="P21" s="106"/>
    </row>
    <row r="22" spans="1:16" ht="14.25">
      <c r="A22" s="60" t="s">
        <v>69</v>
      </c>
      <c r="B22" s="76">
        <v>1</v>
      </c>
      <c r="C22" s="59" t="s">
        <v>18</v>
      </c>
      <c r="D22" s="58"/>
      <c r="I22" s="58"/>
      <c r="J22" s="65" t="s">
        <v>79</v>
      </c>
      <c r="K22" s="233">
        <f t="shared" si="0"/>
        <v>0.22453533860442723</v>
      </c>
      <c r="L22" s="121" t="s">
        <v>23</v>
      </c>
      <c r="M22" s="173">
        <f t="shared" si="1"/>
        <v>0.10215712563654576</v>
      </c>
      <c r="N22" s="59" t="s">
        <v>18</v>
      </c>
      <c r="P22" s="106"/>
    </row>
    <row r="23" spans="1:16" ht="14.25">
      <c r="A23" s="62" t="s">
        <v>9</v>
      </c>
      <c r="B23" s="76">
        <v>1</v>
      </c>
      <c r="C23" s="59" t="s">
        <v>18</v>
      </c>
      <c r="D23" s="58"/>
      <c r="I23" s="58"/>
      <c r="J23" s="65" t="s">
        <v>15</v>
      </c>
      <c r="K23" s="233">
        <f t="shared" si="0"/>
        <v>4.6374509865961085E-8</v>
      </c>
      <c r="L23" s="121" t="s">
        <v>23</v>
      </c>
      <c r="M23" s="173">
        <f t="shared" si="1"/>
        <v>0.59540921602927754</v>
      </c>
      <c r="N23" s="59" t="s">
        <v>18</v>
      </c>
      <c r="P23" s="106"/>
    </row>
    <row r="24" spans="1:16" ht="14.25">
      <c r="A24" s="63" t="s">
        <v>7</v>
      </c>
      <c r="B24" s="76">
        <v>1</v>
      </c>
      <c r="C24" s="59" t="s">
        <v>18</v>
      </c>
      <c r="D24" s="58"/>
      <c r="I24" s="58"/>
      <c r="J24" s="65" t="s">
        <v>80</v>
      </c>
      <c r="K24" s="233">
        <f t="shared" si="0"/>
        <v>3.4111053242047558E-2</v>
      </c>
      <c r="L24" s="121" t="s">
        <v>23</v>
      </c>
      <c r="M24" s="173">
        <f t="shared" si="1"/>
        <v>5.6298401140979825E-3</v>
      </c>
      <c r="N24" s="59" t="s">
        <v>18</v>
      </c>
      <c r="P24" s="106"/>
    </row>
    <row r="25" spans="1:16" ht="14.25">
      <c r="A25" s="62" t="s">
        <v>8</v>
      </c>
      <c r="B25" s="76">
        <v>1</v>
      </c>
      <c r="C25" s="59" t="s">
        <v>18</v>
      </c>
      <c r="D25" s="58"/>
      <c r="I25" s="58"/>
      <c r="J25" s="65" t="s">
        <v>59</v>
      </c>
      <c r="K25" s="233" t="e">
        <f>IF(ABS(W69*M25*$B$3)&gt;N111,N111,(W69*M25*$B$3))</f>
        <v>#DIV/0!</v>
      </c>
      <c r="L25" s="121" t="s">
        <v>23</v>
      </c>
      <c r="M25" s="173" t="e">
        <f>IF(ABS($B$12)&gt;0,(-Y69+((Y69^(2)-4*X69*Z69)^(0.5)))/(2*X69),((-AC69+(AC69^(2)-4*AB69*AD69)^(0.5))/(2*AB69)))</f>
        <v>#DIV/0!</v>
      </c>
      <c r="N25" s="59" t="s">
        <v>18</v>
      </c>
      <c r="P25" s="106"/>
    </row>
    <row r="26" spans="1:16" ht="14.25">
      <c r="A26" s="62" t="s">
        <v>11</v>
      </c>
      <c r="B26" s="76">
        <v>1</v>
      </c>
      <c r="C26" s="59" t="s">
        <v>18</v>
      </c>
      <c r="D26" s="58"/>
      <c r="I26" s="58"/>
      <c r="J26" s="81" t="s">
        <v>60</v>
      </c>
      <c r="K26" s="233" t="e">
        <f>IF(ABS(W70*M26*$B$3)&gt;N112,N112,(W70*M26*$B$3))</f>
        <v>#DIV/0!</v>
      </c>
      <c r="L26" s="121" t="s">
        <v>23</v>
      </c>
      <c r="M26" s="173" t="e">
        <f>IF(ABS($B$12)&gt;0,(-Y70+((Y70^(2)-4*X70*Z70)^(0.5)))/(2*X70),((-AC70+(AC70^(2)-4*AB70*AD70)^(0.5))/(2*AB70)))</f>
        <v>#DIV/0!</v>
      </c>
      <c r="N26" s="59" t="s">
        <v>18</v>
      </c>
      <c r="P26" s="106"/>
    </row>
    <row r="27" spans="1:16" ht="14.25">
      <c r="A27" s="63" t="s">
        <v>70</v>
      </c>
      <c r="B27" s="76">
        <v>1</v>
      </c>
      <c r="C27" s="59" t="s">
        <v>18</v>
      </c>
      <c r="D27" s="58"/>
      <c r="I27" s="58"/>
      <c r="J27" s="65" t="s">
        <v>61</v>
      </c>
      <c r="K27" s="233" t="e">
        <f>IF(ABS(W71*M27*$B$3)&gt;N113,N113,(W71*M27*$B$3))</f>
        <v>#DIV/0!</v>
      </c>
      <c r="L27" s="121" t="s">
        <v>23</v>
      </c>
      <c r="M27" s="173" t="e">
        <f>IF(ABS($B$12)&gt;0,(-Y71+((Y71^(2)-4*X71*Z71)^(0.5)))/(2*X71),((-AC71+(AC71^(2)-4*AB71*AD71)^(0.5))/(2*AB71)))</f>
        <v>#DIV/0!</v>
      </c>
      <c r="N27" s="59" t="s">
        <v>18</v>
      </c>
      <c r="P27" s="106"/>
    </row>
    <row r="28" spans="1:16" ht="14.25">
      <c r="A28" s="63" t="s">
        <v>16</v>
      </c>
      <c r="B28" s="76">
        <v>1</v>
      </c>
      <c r="C28" s="59" t="s">
        <v>18</v>
      </c>
      <c r="D28" s="58"/>
      <c r="I28" s="58"/>
      <c r="J28" s="65" t="s">
        <v>256</v>
      </c>
      <c r="K28" s="233">
        <f>IF(ABS(W72*M28*$B$3)&gt;N114,N114,(W72*M28*$B$3))</f>
        <v>0.39598351116153169</v>
      </c>
      <c r="L28" s="121" t="s">
        <v>23</v>
      </c>
      <c r="M28" s="173">
        <f>IF(ABS($B$12)&gt;0,(-Y72+((Y72^(2)-4*X72*Z72)^(0.5)))/(2*X72),((-AC72+(AC72^(2)-4*AB72*AD72)^(0.5))/(2*AB72)))</f>
        <v>5.2413043819914018E-2</v>
      </c>
      <c r="N28" s="59" t="s">
        <v>18</v>
      </c>
      <c r="P28" s="106"/>
    </row>
    <row r="29" spans="1:16" ht="14.25">
      <c r="A29" s="60" t="s">
        <v>71</v>
      </c>
      <c r="B29" s="76">
        <v>1</v>
      </c>
      <c r="C29" s="59" t="s">
        <v>18</v>
      </c>
      <c r="D29" s="58"/>
      <c r="I29" s="55"/>
      <c r="P29" s="106"/>
    </row>
    <row r="30" spans="1:16" ht="14.25">
      <c r="A30" s="62" t="s">
        <v>12</v>
      </c>
      <c r="B30" s="76">
        <v>1</v>
      </c>
      <c r="C30" s="59" t="s">
        <v>18</v>
      </c>
      <c r="D30" s="58"/>
      <c r="I30" s="55"/>
      <c r="J30" s="212"/>
      <c r="K30" s="261"/>
      <c r="L30" s="231"/>
      <c r="M30" s="259"/>
      <c r="N30" s="185"/>
      <c r="P30" s="106"/>
    </row>
    <row r="31" spans="1:16" ht="14.25">
      <c r="A31" s="62" t="s">
        <v>10</v>
      </c>
      <c r="B31" s="76">
        <v>1</v>
      </c>
      <c r="C31" s="59" t="s">
        <v>18</v>
      </c>
      <c r="D31" s="58"/>
      <c r="I31" s="55"/>
      <c r="J31" s="55"/>
      <c r="K31" s="55"/>
      <c r="L31" s="80"/>
      <c r="M31" s="55"/>
      <c r="N31" s="79"/>
    </row>
    <row r="32" spans="1:16" ht="14.25">
      <c r="A32" s="63" t="s">
        <v>72</v>
      </c>
      <c r="B32" s="76">
        <v>1</v>
      </c>
      <c r="C32" s="59" t="s">
        <v>18</v>
      </c>
      <c r="D32" s="58"/>
      <c r="J32" s="55"/>
      <c r="K32" s="55"/>
      <c r="L32" s="80"/>
      <c r="M32" s="55"/>
      <c r="N32" s="79"/>
    </row>
    <row r="33" spans="1:30" ht="14.25">
      <c r="A33" s="63" t="s">
        <v>73</v>
      </c>
      <c r="B33" s="76">
        <v>1</v>
      </c>
      <c r="C33" s="59" t="s">
        <v>18</v>
      </c>
      <c r="D33" s="58"/>
      <c r="J33" s="55"/>
      <c r="K33" s="55"/>
      <c r="L33" s="80"/>
      <c r="M33" s="55"/>
      <c r="N33" s="79"/>
    </row>
    <row r="34" spans="1:30" ht="14.25">
      <c r="A34" s="64" t="s">
        <v>74</v>
      </c>
      <c r="B34" s="76">
        <v>1</v>
      </c>
      <c r="C34" s="59" t="s">
        <v>18</v>
      </c>
      <c r="D34" s="58"/>
      <c r="J34" s="55"/>
      <c r="K34" s="55"/>
      <c r="L34" s="80"/>
      <c r="M34" s="55"/>
      <c r="N34" s="79"/>
    </row>
    <row r="35" spans="1:30" ht="14.25">
      <c r="A35" s="63" t="s">
        <v>75</v>
      </c>
      <c r="B35" s="76">
        <v>1</v>
      </c>
      <c r="C35" s="59" t="s">
        <v>18</v>
      </c>
      <c r="D35" s="58"/>
      <c r="J35" s="55"/>
      <c r="K35" s="55"/>
      <c r="L35" s="80"/>
      <c r="M35" s="55"/>
      <c r="N35" s="79"/>
    </row>
    <row r="36" spans="1:30" ht="14.25">
      <c r="A36" s="64" t="s">
        <v>78</v>
      </c>
      <c r="B36" s="76">
        <v>1</v>
      </c>
      <c r="C36" s="59" t="s">
        <v>18</v>
      </c>
      <c r="D36" s="58"/>
      <c r="J36" s="55"/>
      <c r="K36" s="55"/>
      <c r="L36" s="80"/>
      <c r="M36" s="55"/>
      <c r="N36" s="79"/>
    </row>
    <row r="37" spans="1:30" ht="14.25">
      <c r="A37" s="65" t="s">
        <v>14</v>
      </c>
      <c r="B37" s="76">
        <v>1</v>
      </c>
      <c r="C37" s="59" t="s">
        <v>18</v>
      </c>
      <c r="D37" s="58"/>
      <c r="J37" s="55"/>
      <c r="K37" s="55"/>
      <c r="L37" s="80"/>
      <c r="M37" s="55"/>
      <c r="N37" s="79"/>
    </row>
    <row r="38" spans="1:30" ht="14.25">
      <c r="A38" s="65" t="s">
        <v>79</v>
      </c>
      <c r="B38" s="76">
        <v>1</v>
      </c>
      <c r="C38" s="59" t="s">
        <v>18</v>
      </c>
      <c r="D38" s="58"/>
      <c r="J38" s="55"/>
      <c r="K38" s="55"/>
      <c r="L38" s="80"/>
      <c r="M38" s="55"/>
      <c r="N38" s="79"/>
    </row>
    <row r="39" spans="1:30" ht="14.25">
      <c r="A39" s="65" t="s">
        <v>15</v>
      </c>
      <c r="B39" s="76">
        <v>1</v>
      </c>
      <c r="C39" s="59" t="s">
        <v>18</v>
      </c>
      <c r="D39" s="55"/>
    </row>
    <row r="40" spans="1:30" ht="14.25">
      <c r="A40" s="65" t="s">
        <v>80</v>
      </c>
      <c r="B40" s="76">
        <v>1</v>
      </c>
      <c r="C40" s="59" t="s">
        <v>18</v>
      </c>
      <c r="D40" s="55"/>
    </row>
    <row r="41" spans="1:30" ht="14.25">
      <c r="A41" s="65" t="s">
        <v>59</v>
      </c>
      <c r="B41" s="76">
        <v>1</v>
      </c>
      <c r="C41" s="59" t="s">
        <v>18</v>
      </c>
      <c r="D41" s="55"/>
    </row>
    <row r="42" spans="1:30" ht="14.25">
      <c r="A42" s="81" t="s">
        <v>60</v>
      </c>
      <c r="B42" s="76">
        <v>1</v>
      </c>
      <c r="C42" s="59" t="s">
        <v>18</v>
      </c>
      <c r="D42" s="55"/>
    </row>
    <row r="43" spans="1:30" ht="15.75">
      <c r="A43" s="65" t="s">
        <v>61</v>
      </c>
      <c r="B43" s="76">
        <v>1</v>
      </c>
      <c r="C43" s="59" t="s">
        <v>18</v>
      </c>
      <c r="M43" s="56" t="s">
        <v>56</v>
      </c>
      <c r="N43" s="274">
        <f>IF(B11&lt;minWindSpd,minWindSpd,B11)</f>
        <v>4.47</v>
      </c>
      <c r="O43" s="59" t="s">
        <v>0</v>
      </c>
    </row>
    <row r="44" spans="1:30" ht="14.25">
      <c r="A44" s="65" t="s">
        <v>256</v>
      </c>
      <c r="B44" s="76">
        <v>1</v>
      </c>
      <c r="C44" s="59" t="s">
        <v>18</v>
      </c>
      <c r="M44" s="273" t="str">
        <f>IF(B11&lt;minWindSpd,CONCATENATE("Windspeed has been set at ",TEXT(minWindSpd,"0.##")," m/s, which is the minimum windspeed for the mass transfer calculations"),"")</f>
        <v/>
      </c>
    </row>
    <row r="45" spans="1:30">
      <c r="H45" s="55"/>
      <c r="I45" s="55"/>
      <c r="J45" s="55"/>
      <c r="K45" s="55"/>
    </row>
    <row r="46" spans="1:30" ht="14.25">
      <c r="A46" s="212"/>
      <c r="B46" s="216"/>
      <c r="C46" s="185"/>
      <c r="H46" s="55"/>
      <c r="I46" s="295"/>
      <c r="J46" s="295"/>
      <c r="K46" s="295"/>
      <c r="M46" s="83" t="s">
        <v>21</v>
      </c>
      <c r="N46" s="83" t="s">
        <v>107</v>
      </c>
      <c r="O46" s="83" t="s">
        <v>103</v>
      </c>
      <c r="P46" s="83" t="s">
        <v>108</v>
      </c>
      <c r="Q46" s="83" t="s">
        <v>104</v>
      </c>
      <c r="R46" s="83" t="s">
        <v>105</v>
      </c>
      <c r="S46" s="83" t="s">
        <v>109</v>
      </c>
      <c r="T46" s="83" t="s">
        <v>35</v>
      </c>
      <c r="U46" s="83" t="s">
        <v>110</v>
      </c>
      <c r="V46" s="83" t="s">
        <v>111</v>
      </c>
      <c r="W46" s="83" t="s">
        <v>112</v>
      </c>
      <c r="X46" s="95" t="s">
        <v>82</v>
      </c>
      <c r="Y46" s="95" t="s">
        <v>83</v>
      </c>
      <c r="Z46" s="95" t="s">
        <v>84</v>
      </c>
      <c r="AA46" s="95" t="s">
        <v>120</v>
      </c>
      <c r="AB46" s="95" t="s">
        <v>150</v>
      </c>
      <c r="AC46" s="95" t="s">
        <v>151</v>
      </c>
      <c r="AD46" s="95" t="s">
        <v>152</v>
      </c>
    </row>
    <row r="47" spans="1:30">
      <c r="H47" s="55"/>
      <c r="I47" s="55"/>
      <c r="J47" s="55"/>
      <c r="K47" s="55"/>
      <c r="M47" s="60" t="s">
        <v>17</v>
      </c>
      <c r="N47" s="105">
        <f>$F$3/($F$4*IF(ABS('Chemical Properties'!F41)&gt;0,'Chemical Properties'!F41,'Chemical Properties'!F4))</f>
        <v>544.51219512195132</v>
      </c>
      <c r="O47" s="105">
        <f>$F$6/($F$7*IF(ABS('Chemical Properties'!G41)&gt;0,'Chemical Properties'!G41,'Chemical Properties'!G4))</f>
        <v>1.0055555555555558</v>
      </c>
      <c r="P47" s="105">
        <f>IF($N$43&lt;3.25,0.00000278*(IF(ABS('Chemical Properties'!F41)&gt;0,'Chemical Properties'!F41,'Chemical Properties'!F4)/$F$14)^(2/3),IF($N$80&lt;14,IF($N$82&lt;0.3,0.000001+0.0144*$N$82^2.2*N47^(-0.5),0.000001+0.00341*$N$82*N47^(-0.5)),IF($N$80&lt;=51.2,(0.000000002605*$N$80+0.0000001277)*$N$43^2*(IF(ABS('Chemical Properties'!F41)&gt;0,'Chemical Properties'!F41,'Chemical Properties'!F4)/$F$14)^(2/3),0.000000261*$N$43^2*(IF(ABS('Chemical Properties'!F41)&gt;0,'Chemical Properties'!F41,'Chemical Properties'!F4)/$F$14)^(2/3))))</f>
        <v>8.3489900838336326E-6</v>
      </c>
      <c r="Q47" s="105">
        <f t="shared" ref="Q47:Q72" si="3">4.82*10^(-3)*$N$43^(0.78)*O47^(-0.67)*(2*($B$3/3.14)^0.5)^(-0.11)</f>
        <v>1.0304933316215292E-2</v>
      </c>
      <c r="R47" s="105">
        <f>IF($B$13=0,0,(8.22*10^(-9)*$F$10*$B$8*1.024^($B$4-20)*$F$9*10^6*18/($B$13*10.758*$F$4)))*(IF(ABS('Chemical Properties'!F41)&gt;0,'Chemical Properties'!F41,'Chemical Properties'!F4)/0.000024)^(0.5)</f>
        <v>1.9124032212256642E-2</v>
      </c>
      <c r="S47" s="105">
        <f>1.35*10^(-7)*$N$77^(1.42)*$N$76^(0.4)*O47^(0.5)*$N$78^(-0.21)*IF(ABS('Chemical Properties'!G41)&gt;0,'Chemical Properties'!G41,'Chemical Properties'!G4)*29*$F$11^(-1)</f>
        <v>0.13068120238787614</v>
      </c>
      <c r="T47" s="105">
        <f>IF(ABS('Chemical Properties'!E41)&gt;0,'Chemical Properties'!E41,'Chemical Properties'!E4)/($F$5*($B$4+273.15))</f>
        <v>1.8588032616073582E-4</v>
      </c>
      <c r="U47" s="105">
        <f>(R47*T47*S47)/(T47*S47+R47)</f>
        <v>2.4260249510721242E-5</v>
      </c>
      <c r="V47" s="105">
        <f>(P47*T47*Q47)/(T47*Q47+P47)</f>
        <v>1.5580300827710854E-6</v>
      </c>
      <c r="W47" s="105">
        <f t="shared" ref="W47:W72" si="4">(U47*$B$13+V47*$F$8)/$B$3</f>
        <v>1.0824242094179312E-5</v>
      </c>
      <c r="X47" s="105">
        <f t="shared" ref="X47:X72" si="5">(W47*$B$3+($B$12*AA47*$B$15)+($B$6-$B$12))/$B$6</f>
        <v>0.91330589265325912</v>
      </c>
      <c r="Y47" s="105">
        <f>((IF(ABS('Chemical Properties'!J41)&gt;0,'Chemical Properties'!J41,'Chemical Properties'!J4)/$B$6)*(W47*$B$3+($B$12*AA47*$B$15)+($B$6-$B$12))+((IF(ABS('Chemical Properties'!I41)&gt;0,'Chemical Properties'!I41,'Chemical Properties'!I4)*$B$10*$B$3*$B$7)/$B$6)-B19)</f>
        <v>209.82253033879331</v>
      </c>
      <c r="Z47" s="105">
        <f>-IF(ABS('Chemical Properties'!J41)&gt;0,'Chemical Properties'!J41,'Chemical Properties'!J4)*B19</f>
        <v>-90</v>
      </c>
      <c r="AA47" s="105">
        <f>0.000001*$F$15*'Chemical Properties'!N4</f>
        <v>3.0797391926300696E-8</v>
      </c>
      <c r="AB47" s="105">
        <f>($B$6+$B$3*W47+$F$16*$B$14*$B$6*$N$84*AA47)/$B$6</f>
        <v>1.0132626455439691</v>
      </c>
      <c r="AC47" s="105">
        <f>((IF(ABS('Chemical Properties'!J41)&gt;0,'Chemical Properties'!J41,'Chemical Properties'!J4)/$B$6)*(W47*$B$3+($F$16*$B$14*$B$6*$N$84*AA47)+($B$6-$B$12))+((IF(ABS('Chemical Properties'!I41)&gt;0,'Chemical Properties'!I41,'Chemical Properties'!I4)*$B$10*$B$3*$B$7)/$B$6)-B19)</f>
        <v>209.81863809895722</v>
      </c>
      <c r="AD47" s="105">
        <f>-IF(ABS('Chemical Properties'!J41)&gt;0,'Chemical Properties'!J41,'Chemical Properties'!J4)*B19</f>
        <v>-90</v>
      </c>
    </row>
    <row r="48" spans="1:30">
      <c r="H48" s="55"/>
      <c r="I48" s="55"/>
      <c r="J48" s="55"/>
      <c r="K48" s="55"/>
      <c r="M48" s="62" t="s">
        <v>6</v>
      </c>
      <c r="N48" s="105">
        <f>$F$3/($F$4*IF(ABS('Chemical Properties'!F42)&gt;0,'Chemical Properties'!F42,'Chemical Properties'!F5))</f>
        <v>911.22448979591843</v>
      </c>
      <c r="O48" s="105">
        <f>$F$6/($F$7*IF(ABS('Chemical Properties'!G42)&gt;0,'Chemical Properties'!G42,'Chemical Properties'!G5))</f>
        <v>1.714015151515152</v>
      </c>
      <c r="P48" s="105">
        <f>IF($N$43&lt;3.25,0.00000278*(IF(ABS('Chemical Properties'!F42)&gt;0,'Chemical Properties'!F42,'Chemical Properties'!F5)/$F$14)^(2/3),IF($N$80&lt;14,IF($N$82&lt;0.3,0.000001+0.0144*$N$82^2.2*N48^(-0.5),0.000001+0.00341*$N$82*N48^(-0.5)),IF($N$80&lt;=51.2,(0.000000002605*$N$80+0.0000001277)*$N$43^2*(IF(ABS('Chemical Properties'!F42)&gt;0,'Chemical Properties'!F42,'Chemical Properties'!F5)/$F$14)^(2/3),0.000000261*$N$43^2*(IF(ABS('Chemical Properties'!F42)&gt;0,'Chemical Properties'!F42,'Chemical Properties'!F5)/$F$14)^(2/3))))</f>
        <v>6.6809213304666372E-6</v>
      </c>
      <c r="Q48" s="105">
        <f t="shared" si="3"/>
        <v>7.208873962855686E-3</v>
      </c>
      <c r="R48" s="105">
        <f>IF($B$13=0,0,(8.22*10^(-9)*$F$10*$B$8*1.024^($B$4-20)*$F$9*10^6*18/($B$13*10.758*$F$4)))*(IF(ABS('Chemical Properties'!F42)&gt;0,'Chemical Properties'!F42,'Chemical Properties'!F5)/0.000024)^(0.5)</f>
        <v>1.4783272433328172E-2</v>
      </c>
      <c r="S48" s="105">
        <f>1.35*10^(-7)*$N$77^(1.42)*$N$76^(0.4)*O48^(0.5)*$N$78^(-0.21)*IF(ABS('Chemical Properties'!G42)&gt;0,'Chemical Properties'!G42,'Chemical Properties'!G5)*29*$F$11^(-1)</f>
        <v>0.10009418051227593</v>
      </c>
      <c r="T48" s="105">
        <f>IF(ABS('Chemical Properties'!E42)&gt;0,'Chemical Properties'!E42,'Chemical Properties'!E5)/($F$5*($B$4+273.15))</f>
        <v>0.22792954908029947</v>
      </c>
      <c r="U48" s="105">
        <f t="shared" ref="U48:U68" si="6">(R48*T48*S48)/(T48*S48+R48)</f>
        <v>8.9705450720694111E-3</v>
      </c>
      <c r="V48" s="105">
        <f t="shared" ref="V48:V68" si="7">(P48*T48*Q48)/(T48*Q48+P48)</f>
        <v>6.6538666513704814E-6</v>
      </c>
      <c r="W48" s="105">
        <f t="shared" si="4"/>
        <v>3.6653849709036321E-3</v>
      </c>
      <c r="X48" s="105">
        <f t="shared" si="5"/>
        <v>5.4220564736941652</v>
      </c>
      <c r="Y48" s="105">
        <f>((IF(ABS('Chemical Properties'!J42)&gt;0,'Chemical Properties'!J42,'Chemical Properties'!J5)/$B$6)*(W48*$B$3+($B$12*AA48*$B$15)+($B$6-$B$12))+((IF(ABS('Chemical Properties'!I42)&gt;0,'Chemical Properties'!I42,'Chemical Properties'!I5)*$B$10*$B$3*$B$7)/$B$6)-B20)</f>
        <v>208.3558854763256</v>
      </c>
      <c r="Z48" s="105">
        <f>-IF(ABS('Chemical Properties'!J42)&gt;0,'Chemical Properties'!J42,'Chemical Properties'!J5)*B20</f>
        <v>-13.571428571428573</v>
      </c>
      <c r="AA48" s="105">
        <f>0.000001*$F$15*'Chemical Properties'!N5</f>
        <v>2.1306589558143626E-5</v>
      </c>
      <c r="AB48" s="105">
        <f t="shared" ref="AB48:AB72" si="8">($B$6+$B$3*W48+$F$16*$B$14*$B$6*$N$84*AA48)/$B$6</f>
        <v>5.4921367840845985</v>
      </c>
      <c r="AC48" s="105">
        <f>((IF(ABS('Chemical Properties'!J42)&gt;0,'Chemical Properties'!J42,'Chemical Properties'!J5)/$B$6)*(W48*$B$3+($F$16*$B$14*$B$6*$N$84*AA48)+($B$6-$B$12))+((IF(ABS('Chemical Properties'!I42)&gt;0,'Chemical Properties'!I42,'Chemical Properties'!I5)*$B$10*$B$3*$B$7)/$B$6)-B20)</f>
        <v>207.94983254591006</v>
      </c>
      <c r="AD48" s="105">
        <f>-IF(ABS('Chemical Properties'!J42)&gt;0,'Chemical Properties'!J42,'Chemical Properties'!J5)*B20</f>
        <v>-13.571428571428573</v>
      </c>
    </row>
    <row r="49" spans="5:30">
      <c r="E49" s="296"/>
      <c r="F49" s="297"/>
      <c r="G49" s="297"/>
      <c r="H49" s="55"/>
      <c r="I49" s="55"/>
      <c r="J49" s="55"/>
      <c r="K49" s="55"/>
      <c r="M49" s="62" t="s">
        <v>13</v>
      </c>
      <c r="N49" s="105">
        <f>$F$3/($F$4*IF(ABS('Chemical Properties'!F43)&gt;0,'Chemical Properties'!F43,'Chemical Properties'!F6))</f>
        <v>893</v>
      </c>
      <c r="O49" s="105">
        <f>$F$6/($F$7*IF(ABS('Chemical Properties'!G43)&gt;0,'Chemical Properties'!G43,'Chemical Properties'!G6))</f>
        <v>1.4503205128205132</v>
      </c>
      <c r="P49" s="105">
        <f>IF($N$43&lt;3.25,0.00000278*(IF(ABS('Chemical Properties'!F43)&gt;0,'Chemical Properties'!F43,'Chemical Properties'!F6)/$F$14)^(2/3),IF($N$80&lt;14,IF($N$82&lt;0.3,0.000001+0.0144*$N$82^2.2*N49^(-0.5),0.000001+0.00341*$N$82*N49^(-0.5)),IF($N$80&lt;=51.2,(0.000000002605*$N$80+0.0000001277)*$N$43^2*(IF(ABS('Chemical Properties'!F43)&gt;0,'Chemical Properties'!F43,'Chemical Properties'!F6)/$F$14)^(2/3),0.000000261*$N$43^2*(IF(ABS('Chemical Properties'!F43)&gt;0,'Chemical Properties'!F43,'Chemical Properties'!F6)/$F$14)^(2/3))))</f>
        <v>6.7385971373718054E-6</v>
      </c>
      <c r="Q49" s="105">
        <f t="shared" si="3"/>
        <v>8.0626234907690639E-3</v>
      </c>
      <c r="R49" s="105">
        <f>IF($B$13=0,0,(8.22*10^(-9)*$F$10*$B$8*1.024^($B$4-20)*$F$9*10^6*18/($B$13*10.758*$F$4)))*(IF(ABS('Chemical Properties'!F43)&gt;0,'Chemical Properties'!F43,'Chemical Properties'!F6)/0.000024)^(0.5)</f>
        <v>1.4933360265335007E-2</v>
      </c>
      <c r="S49" s="105">
        <f>1.35*10^(-7)*$N$77^(1.42)*$N$76^(0.4)*O49^(0.5)*$N$78^(-0.21)*IF(ABS('Chemical Properties'!G43)&gt;0,'Chemical Properties'!G43,'Chemical Properties'!G6)*29*$F$11^(-1)</f>
        <v>0.10881384631207766</v>
      </c>
      <c r="T49" s="105">
        <f>IF(ABS('Chemical Properties'!E43)&gt;0,'Chemical Properties'!E43,'Chemical Properties'!E6)/($F$5*($B$4+273.15))</f>
        <v>1.234720891796967</v>
      </c>
      <c r="U49" s="105">
        <f t="shared" si="6"/>
        <v>1.3439568969750158E-2</v>
      </c>
      <c r="V49" s="105">
        <f t="shared" si="7"/>
        <v>6.7340388685302903E-6</v>
      </c>
      <c r="W49" s="105">
        <f t="shared" si="4"/>
        <v>5.4895238065753166E-3</v>
      </c>
      <c r="X49" s="105">
        <f t="shared" si="5"/>
        <v>7.6483588526247344</v>
      </c>
      <c r="Y49" s="105">
        <f>((IF(ABS('Chemical Properties'!J43)&gt;0,'Chemical Properties'!J43,'Chemical Properties'!J6)/$B$6)*(W49*$B$3+($B$12*AA49*$B$15)+($B$6-$B$12))+((IF(ABS('Chemical Properties'!I43)&gt;0,'Chemical Properties'!I43,'Chemical Properties'!I6)*$B$10*$B$3*$B$7)/$B$6)-B21)</f>
        <v>239.28579047431106</v>
      </c>
      <c r="Z49" s="105">
        <f>-IF(ABS('Chemical Properties'!J43)&gt;0,'Chemical Properties'!J43,'Chemical Properties'!J6)*B21</f>
        <v>-17.121913733084138</v>
      </c>
      <c r="AA49" s="105">
        <f>0.000001*$F$15*'Chemical Properties'!N6</f>
        <v>1.5794793046647074E-5</v>
      </c>
      <c r="AB49" s="105">
        <f t="shared" si="8"/>
        <v>7.726179080300617</v>
      </c>
      <c r="AC49" s="105">
        <f>((IF(ABS('Chemical Properties'!J43)&gt;0,'Chemical Properties'!J43,'Chemical Properties'!J6)/$B$6)*(W49*$B$3+($F$16*$B$14*$B$6*$N$84*AA49)+($B$6-$B$12))+((IF(ABS('Chemical Properties'!I43)&gt;0,'Chemical Properties'!I43,'Chemical Properties'!I6)*$B$10*$B$3*$B$7)/$B$6)-B21)</f>
        <v>238.90603032595808</v>
      </c>
      <c r="AD49" s="105">
        <f>-IF(ABS('Chemical Properties'!J43)&gt;0,'Chemical Properties'!J43,'Chemical Properties'!J6)*B21</f>
        <v>-17.121913733084138</v>
      </c>
    </row>
    <row r="50" spans="5:30">
      <c r="E50" s="122"/>
      <c r="F50" s="114"/>
      <c r="G50" s="115"/>
      <c r="M50" s="60" t="s">
        <v>69</v>
      </c>
      <c r="N50" s="105">
        <f>$F$3/($F$4*IF(ABS('Chemical Properties'!F44)&gt;0,'Chemical Properties'!F44,'Chemical Properties'!F7))</f>
        <v>911.22448979591843</v>
      </c>
      <c r="O50" s="105">
        <f>$F$6/($F$7*IF(ABS('Chemical Properties'!G44)&gt;0,'Chemical Properties'!G44,'Chemical Properties'!G7))</f>
        <v>1.866749174917492</v>
      </c>
      <c r="P50" s="105">
        <f>IF($N$43&lt;3.25,0.00000278*(IF(ABS('Chemical Properties'!F44)&gt;0,'Chemical Properties'!F44,'Chemical Properties'!F7)/$F$14)^(2/3),IF($N$80&lt;14,IF($N$82&lt;0.3,0.000001+0.0144*$N$82^2.2*N50^(-0.5),0.000001+0.00341*$N$82*N50^(-0.5)),IF($N$80&lt;=51.2,(0.000000002605*$N$80+0.0000001277)*$N$43^2*(IF(ABS('Chemical Properties'!F44)&gt;0,'Chemical Properties'!F44,'Chemical Properties'!F7)/$F$14)^(2/3),0.000000261*$N$43^2*(IF(ABS('Chemical Properties'!F44)&gt;0,'Chemical Properties'!F44,'Chemical Properties'!F7)/$F$14)^(2/3))))</f>
        <v>6.6809213304666372E-6</v>
      </c>
      <c r="Q50" s="105">
        <f t="shared" si="3"/>
        <v>6.8081584369146389E-3</v>
      </c>
      <c r="R50" s="105">
        <f>IF($B$13=0,0,(8.22*10^(-9)*$F$10*$B$8*1.024^($B$4-20)*$F$9*10^6*18/($B$13*10.758*$F$4)))*(IF(ABS('Chemical Properties'!F44)&gt;0,'Chemical Properties'!F44,'Chemical Properties'!F7)/0.000024)^(0.5)</f>
        <v>1.4783272433328172E-2</v>
      </c>
      <c r="S50" s="105">
        <f>1.35*10^(-7)*$N$77^(1.42)*$N$76^(0.4)*O50^(0.5)*$N$78^(-0.21)*IF(ABS('Chemical Properties'!G44)&gt;0,'Chemical Properties'!G44,'Chemical Properties'!G7)*29*$F$11^(-1)</f>
        <v>9.5912049779274922E-2</v>
      </c>
      <c r="T50" s="105">
        <f>IF(ABS('Chemical Properties'!E44)&gt;0,'Chemical Properties'!E44,'Chemical Properties'!E7)/($F$5*($B$4+273.15))</f>
        <v>2.2836725785461832E-3</v>
      </c>
      <c r="U50" s="105">
        <f t="shared" si="6"/>
        <v>2.158338830191783E-4</v>
      </c>
      <c r="V50" s="105">
        <f t="shared" si="7"/>
        <v>4.6729290012907968E-6</v>
      </c>
      <c r="W50" s="105">
        <f t="shared" si="4"/>
        <v>9.0861073498387738E-5</v>
      </c>
      <c r="X50" s="105">
        <f t="shared" si="5"/>
        <v>1.0117562604010062</v>
      </c>
      <c r="Y50" s="105">
        <f>((IF(ABS('Chemical Properties'!J44)&gt;0,'Chemical Properties'!J44,'Chemical Properties'!J7)/$B$6)*(W50*$B$3+($B$12*AA50*$B$15)+($B$6-$B$12))+((IF(ABS('Chemical Properties'!I44)&gt;0,'Chemical Properties'!I44,'Chemical Properties'!I7)*$B$10*$B$3*$B$7)/$B$6)-B22)</f>
        <v>23.409229270676725</v>
      </c>
      <c r="Z50" s="105">
        <f>-IF(ABS('Chemical Properties'!J44)&gt;0,'Chemical Properties'!J44,'Chemical Properties'!J7)*B22</f>
        <v>-10</v>
      </c>
      <c r="AA50" s="105">
        <f>0.000001*$F$15*'Chemical Properties'!N7</f>
        <v>3.0096357698745028E-7</v>
      </c>
      <c r="AB50" s="105">
        <f t="shared" si="8"/>
        <v>1.1113336335520363</v>
      </c>
      <c r="AC50" s="105">
        <f>((IF(ABS('Chemical Properties'!J44)&gt;0,'Chemical Properties'!J44,'Chemical Properties'!J7)/$B$6)*(W50*$B$3+($F$16*$B$14*$B$6*$N$84*AA50)+($B$6-$B$12))+((IF(ABS('Chemical Properties'!I44)&gt;0,'Chemical Properties'!I44,'Chemical Properties'!I7)*$B$10*$B$3*$B$7)/$B$6)-B22)</f>
        <v>23.40500300218703</v>
      </c>
      <c r="AD50" s="105">
        <f>-IF(ABS('Chemical Properties'!J44)&gt;0,'Chemical Properties'!J44,'Chemical Properties'!J7)*B22</f>
        <v>-10</v>
      </c>
    </row>
    <row r="51" spans="5:30">
      <c r="E51" s="123"/>
      <c r="F51" s="114"/>
      <c r="G51" s="115"/>
      <c r="M51" s="62" t="s">
        <v>9</v>
      </c>
      <c r="N51" s="105">
        <f>$F$3/($F$4*IF(ABS('Chemical Properties'!F45)&gt;0,'Chemical Properties'!F45,'Chemical Properties'!F8))</f>
        <v>1190.6666666666667</v>
      </c>
      <c r="O51" s="105">
        <f>$F$6/($F$7*IF(ABS('Chemical Properties'!G45)&gt;0,'Chemical Properties'!G45,'Chemical Properties'!G8))</f>
        <v>2.5564971751412435</v>
      </c>
      <c r="P51" s="105">
        <f>IF($N$43&lt;3.25,0.00000278*(IF(ABS('Chemical Properties'!F45)&gt;0,'Chemical Properties'!F45,'Chemical Properties'!F8)/$F$14)^(2/3),IF($N$80&lt;14,IF($N$82&lt;0.3,0.000001+0.0144*$N$82^2.2*N51^(-0.5),0.000001+0.00341*$N$82*N51^(-0.5)),IF($N$80&lt;=51.2,(0.000000002605*$N$80+0.0000001277)*$N$43^2*(IF(ABS('Chemical Properties'!F45)&gt;0,'Chemical Properties'!F45,'Chemical Properties'!F8)/$F$14)^(2/3),0.000000261*$N$43^2*(IF(ABS('Chemical Properties'!F45)&gt;0,'Chemical Properties'!F45,'Chemical Properties'!F8)/$F$14)^(2/3))))</f>
        <v>5.9697709030486409E-6</v>
      </c>
      <c r="Q51" s="105">
        <f t="shared" si="3"/>
        <v>5.5148650549823814E-3</v>
      </c>
      <c r="R51" s="105">
        <f>IF($B$13=0,0,(8.22*10^(-9)*$F$10*$B$8*1.024^($B$4-20)*$F$9*10^6*18/($B$13*10.758*$F$4)))*(IF(ABS('Chemical Properties'!F45)&gt;0,'Chemical Properties'!F45,'Chemical Properties'!F8)/0.000024)^(0.5)</f>
        <v>1.2932669353645242E-2</v>
      </c>
      <c r="S51" s="105">
        <f>1.35*10^(-7)*$N$77^(1.42)*$N$76^(0.4)*O51^(0.5)*$N$78^(-0.21)*IF(ABS('Chemical Properties'!G45)&gt;0,'Chemical Properties'!G45,'Chemical Properties'!G8)*29*$F$11^(-1)</f>
        <v>8.195840501111612E-2</v>
      </c>
      <c r="T51" s="105">
        <f>IF(ABS('Chemical Properties'!E45)&gt;0,'Chemical Properties'!E45,'Chemical Properties'!E8)/($F$5*($B$4+273.15))</f>
        <v>1.9731911546293494E-2</v>
      </c>
      <c r="U51" s="105">
        <f t="shared" si="6"/>
        <v>1.4374470566207002E-3</v>
      </c>
      <c r="V51" s="105">
        <f t="shared" si="7"/>
        <v>5.6593030994180536E-6</v>
      </c>
      <c r="W51" s="105">
        <f t="shared" si="4"/>
        <v>5.9006246780198219E-4</v>
      </c>
      <c r="X51" s="105">
        <f t="shared" si="5"/>
        <v>2.1655832301483056</v>
      </c>
      <c r="Y51" s="105">
        <f>((IF(ABS('Chemical Properties'!J45)&gt;0,'Chemical Properties'!J45,'Chemical Properties'!J8)/$B$6)*(W51*$B$3+($B$12*AA51*$B$15)+($B$6-$B$12))+((IF(ABS('Chemical Properties'!I45)&gt;0,'Chemical Properties'!I45,'Chemical Properties'!I8)*$B$10*$B$3*$B$7)/$B$6)-B23)</f>
        <v>394.45586145106529</v>
      </c>
      <c r="Z51" s="105">
        <f>-IF(ABS('Chemical Properties'!J45)&gt;0,'Chemical Properties'!J45,'Chemical Properties'!J8)*B23</f>
        <v>-42.47</v>
      </c>
      <c r="AA51" s="105">
        <f>0.000001*$F$15*'Chemical Properties'!N8</f>
        <v>3.6183780472725152E-4</v>
      </c>
      <c r="AB51" s="105">
        <f t="shared" si="8"/>
        <v>1.7574740005175822</v>
      </c>
      <c r="AC51" s="105">
        <f>((IF(ABS('Chemical Properties'!J45)&gt;0,'Chemical Properties'!J45,'Chemical Properties'!J8)/$B$6)*(W51*$B$3+($F$16*$B$14*$B$6*$N$84*AA51)+($B$6-$B$12))+((IF(ABS('Chemical Properties'!I45)&gt;0,'Chemical Properties'!I45,'Chemical Properties'!I8)*$B$10*$B$3*$B$7)/$B$6)-B23)</f>
        <v>372.87646246864847</v>
      </c>
      <c r="AD51" s="105">
        <f>-IF(ABS('Chemical Properties'!J45)&gt;0,'Chemical Properties'!J45,'Chemical Properties'!J8)*B23</f>
        <v>-42.47</v>
      </c>
    </row>
    <row r="52" spans="5:30">
      <c r="E52" s="123"/>
      <c r="F52" s="114"/>
      <c r="G52" s="115"/>
      <c r="M52" s="63" t="s">
        <v>7</v>
      </c>
      <c r="N52" s="105">
        <f>$F$3/($F$4*IF(ABS('Chemical Properties'!F46)&gt;0,'Chemical Properties'!F46,'Chemical Properties'!F9))</f>
        <v>1257.7464788732395</v>
      </c>
      <c r="O52" s="105">
        <f>$F$6/($F$7*IF(ABS('Chemical Properties'!G46)&gt;0,'Chemical Properties'!G46,'Chemical Properties'!G9))</f>
        <v>1.7538759689922483</v>
      </c>
      <c r="P52" s="105">
        <f>IF($N$43&lt;3.25,0.00000278*(IF(ABS('Chemical Properties'!F46)&gt;0,'Chemical Properties'!F46,'Chemical Properties'!F9)/$F$14)^(2/3),IF($N$80&lt;14,IF($N$82&lt;0.3,0.000001+0.0144*$N$82^2.2*N52^(-0.5),0.000001+0.00341*$N$82*N52^(-0.5)),IF($N$80&lt;=51.2,(0.000000002605*$N$80+0.0000001277)*$N$43^2*(IF(ABS('Chemical Properties'!F46)&gt;0,'Chemical Properties'!F46,'Chemical Properties'!F9)/$F$14)^(2/3),0.000000261*$N$43^2*(IF(ABS('Chemical Properties'!F46)&gt;0,'Chemical Properties'!F46,'Chemical Properties'!F9)/$F$14)^(2/3))))</f>
        <v>5.8354278967415931E-6</v>
      </c>
      <c r="Q52" s="105">
        <f t="shared" si="3"/>
        <v>7.098686626509941E-3</v>
      </c>
      <c r="R52" s="105">
        <f>IF($B$13=0,0,(8.22*10^(-9)*$F$10*$B$8*1.024^($B$4-20)*$F$9*10^6*18/($B$13*10.758*$F$4)))*(IF(ABS('Chemical Properties'!F46)&gt;0,'Chemical Properties'!F46,'Chemical Properties'!F9)/0.000024)^(0.5)</f>
        <v>1.2583073021251343E-2</v>
      </c>
      <c r="S52" s="105">
        <f>1.35*10^(-7)*$N$77^(1.42)*$N$76^(0.4)*O52^(0.5)*$N$78^(-0.21)*IF(ABS('Chemical Properties'!G46)&gt;0,'Chemical Properties'!G46,'Chemical Properties'!G9)*29*$F$11^(-1)</f>
        <v>9.8950209450629892E-2</v>
      </c>
      <c r="T52" s="105">
        <f>IF(ABS('Chemical Properties'!E46)&gt;0,'Chemical Properties'!E46,'Chemical Properties'!E9)/($F$5*($B$4+273.15))</f>
        <v>0.59645115647181168</v>
      </c>
      <c r="U52" s="105">
        <f t="shared" si="6"/>
        <v>1.0371771123696059E-2</v>
      </c>
      <c r="V52" s="105">
        <f t="shared" si="7"/>
        <v>5.8273964389385035E-6</v>
      </c>
      <c r="W52" s="105">
        <f t="shared" si="4"/>
        <v>4.2368248361357224E-3</v>
      </c>
      <c r="X52" s="105">
        <f t="shared" si="5"/>
        <v>6.9908623492782027</v>
      </c>
      <c r="Y52" s="105">
        <f>((IF(ABS('Chemical Properties'!J46)&gt;0,'Chemical Properties'!J46,'Chemical Properties'!J9)/$B$6)*(W52*$B$3+($B$12*AA52*$B$15)+($B$6-$B$12))+((IF(ABS('Chemical Properties'!I46)&gt;0,'Chemical Properties'!I46,'Chemical Properties'!I9)*$B$10*$B$3*$B$7)/$B$6)-B24)</f>
        <v>296.71323532289546</v>
      </c>
      <c r="Z52" s="105">
        <f>-IF(ABS('Chemical Properties'!J46)&gt;0,'Chemical Properties'!J46,'Chemical Properties'!J9)*B24</f>
        <v>-10.796639224919337</v>
      </c>
      <c r="AA52" s="105">
        <f>0.000001*$F$15*'Chemical Properties'!N9</f>
        <v>6.0050128334129512E-4</v>
      </c>
      <c r="AB52" s="105">
        <f t="shared" si="8"/>
        <v>6.2476109242348699</v>
      </c>
      <c r="AC52" s="105">
        <f>((IF(ABS('Chemical Properties'!J46)&gt;0,'Chemical Properties'!J46,'Chemical Properties'!J9)/$B$6)*(W52*$B$3+($F$16*$B$14*$B$6*$N$84*AA52)+($B$6-$B$12))+((IF(ABS('Chemical Properties'!I46)&gt;0,'Chemical Properties'!I46,'Chemical Properties'!I9)*$B$10*$B$3*$B$7)/$B$6)-B24)</f>
        <v>287.60895391080351</v>
      </c>
      <c r="AD52" s="105">
        <f>-IF(ABS('Chemical Properties'!J46)&gt;0,'Chemical Properties'!J46,'Chemical Properties'!J9)*B24</f>
        <v>-10.796639224919337</v>
      </c>
    </row>
    <row r="53" spans="5:30">
      <c r="E53" s="122"/>
      <c r="F53" s="114"/>
      <c r="G53" s="115"/>
      <c r="M53" s="62" t="s">
        <v>8</v>
      </c>
      <c r="N53" s="105">
        <f>$F$3/($F$4*IF(ABS('Chemical Properties'!F47)&gt;0,'Chemical Properties'!F47,'Chemical Properties'!F10))</f>
        <v>1144.8717948717949</v>
      </c>
      <c r="O53" s="105">
        <f>$F$6/($F$7*IF(ABS('Chemical Properties'!G47)&gt;0,'Chemical Properties'!G47,'Chemical Properties'!G10))</f>
        <v>2.0111111111111115</v>
      </c>
      <c r="P53" s="105">
        <f>IF($N$43&lt;3.25,0.00000278*(IF(ABS('Chemical Properties'!F47)&gt;0,'Chemical Properties'!F47,'Chemical Properties'!F10)/$F$14)^(2/3),IF($N$80&lt;14,IF($N$82&lt;0.3,0.000001+0.0144*$N$82^2.2*N53^(-0.5),0.000001+0.00341*$N$82*N53^(-0.5)),IF($N$80&lt;=51.2,(0.000000002605*$N$80+0.0000001277)*$N$43^2*(IF(ABS('Chemical Properties'!F47)&gt;0,'Chemical Properties'!F47,'Chemical Properties'!F10)/$F$14)^(2/3),0.000000261*$N$43^2*(IF(ABS('Chemical Properties'!F47)&gt;0,'Chemical Properties'!F47,'Chemical Properties'!F10)/$F$14)^(2/3))))</f>
        <v>6.0681917625461314E-6</v>
      </c>
      <c r="Q53" s="105">
        <f t="shared" si="3"/>
        <v>6.4767195010191E-3</v>
      </c>
      <c r="R53" s="105">
        <f>IF($B$13=0,0,(8.22*10^(-9)*$F$10*$B$8*1.024^($B$4-20)*$F$9*10^6*18/($B$13*10.758*$F$4)))*(IF(ABS('Chemical Properties'!F47)&gt;0,'Chemical Properties'!F47,'Chemical Properties'!F10)/0.000024)^(0.5)</f>
        <v>1.3188786679416096E-2</v>
      </c>
      <c r="S53" s="105">
        <f>1.35*10^(-7)*$N$77^(1.42)*$N$76^(0.4)*O53^(0.5)*$N$78^(-0.21)*IF(ABS('Chemical Properties'!G47)&gt;0,'Chemical Properties'!G47,'Chemical Properties'!G10)*29*$F$11^(-1)</f>
        <v>9.2405564382078864E-2</v>
      </c>
      <c r="T53" s="105">
        <f>IF(ABS('Chemical Properties'!E47)&gt;0,'Chemical Properties'!E47,'Chemical Properties'!E10)/($F$5*($B$4+273.15))</f>
        <v>0.32192021321903264</v>
      </c>
      <c r="U53" s="105">
        <f t="shared" si="6"/>
        <v>9.1375459696845102E-3</v>
      </c>
      <c r="V53" s="105">
        <f t="shared" si="7"/>
        <v>6.0505820156715233E-6</v>
      </c>
      <c r="W53" s="105">
        <f t="shared" si="4"/>
        <v>3.7331915565743806E-3</v>
      </c>
      <c r="X53" s="105">
        <f t="shared" si="5"/>
        <v>5.8002029135673769</v>
      </c>
      <c r="Y53" s="105">
        <f>((IF(ABS('Chemical Properties'!J47)&gt;0,'Chemical Properties'!J47,'Chemical Properties'!J10)/$B$6)*(W53*$B$3+($B$12*AA53*$B$15)+($B$6-$B$12))+((IF(ABS('Chemical Properties'!I47)&gt;0,'Chemical Properties'!I47,'Chemical Properties'!I10)*$B$10*$B$3*$B$7)/$B$6)-B25)</f>
        <v>66.373276101075319</v>
      </c>
      <c r="Z53" s="105">
        <f>-IF(ABS('Chemical Properties'!J47)&gt;0,'Chemical Properties'!J47,'Chemical Properties'!J10)*B25</f>
        <v>-3.2380952380952377</v>
      </c>
      <c r="AA53" s="105">
        <f>0.000001*$F$15*'Chemical Properties'!N10</f>
        <v>2.1802883784250701E-4</v>
      </c>
      <c r="AB53" s="105">
        <f t="shared" si="8"/>
        <v>5.5940368264805276</v>
      </c>
      <c r="AC53" s="105">
        <f>((IF(ABS('Chemical Properties'!J47)&gt;0,'Chemical Properties'!J47,'Chemical Properties'!J10)/$B$6)*(W53*$B$3+($F$16*$B$14*$B$6*$N$84*AA53)+($B$6-$B$12))+((IF(ABS('Chemical Properties'!I47)&gt;0,'Chemical Properties'!I47,'Chemical Properties'!I10)*$B$10*$B$3*$B$7)/$B$6)-B25)</f>
        <v>65.381881152413143</v>
      </c>
      <c r="AD53" s="105">
        <f>-IF(ABS('Chemical Properties'!J47)&gt;0,'Chemical Properties'!J47,'Chemical Properties'!J10)*B25</f>
        <v>-3.2380952380952377</v>
      </c>
    </row>
    <row r="54" spans="5:30">
      <c r="E54" s="123"/>
      <c r="F54" s="114"/>
      <c r="G54" s="115"/>
      <c r="M54" s="62" t="s">
        <v>11</v>
      </c>
      <c r="N54" s="105">
        <f>$F$3/($F$4*IF(ABS('Chemical Properties'!F48)&gt;0,'Chemical Properties'!F48,'Chemical Properties'!F11))</f>
        <v>1116.25</v>
      </c>
      <c r="O54" s="105">
        <f>$F$6/($F$7*IF(ABS('Chemical Properties'!G48)&gt;0,'Chemical Properties'!G48,'Chemical Properties'!G11))</f>
        <v>2.1244131455399065</v>
      </c>
      <c r="P54" s="105">
        <f>IF($N$43&lt;3.25,0.00000278*(IF(ABS('Chemical Properties'!F48)&gt;0,'Chemical Properties'!F48,'Chemical Properties'!F11)/$F$14)^(2/3),IF($N$80&lt;14,IF($N$82&lt;0.3,0.000001+0.0144*$N$82^2.2*N54^(-0.5),0.000001+0.00341*$N$82*N54^(-0.5)),IF($N$80&lt;=51.2,(0.000000002605*$N$80+0.0000001277)*$N$43^2*(IF(ABS('Chemical Properties'!F48)&gt;0,'Chemical Properties'!F48,'Chemical Properties'!F11)/$F$14)^(2/3),0.000000261*$N$43^2*(IF(ABS('Chemical Properties'!F48)&gt;0,'Chemical Properties'!F48,'Chemical Properties'!F11)/$F$14)^(2/3))))</f>
        <v>6.1327573178596216E-6</v>
      </c>
      <c r="Q54" s="105">
        <f t="shared" si="3"/>
        <v>6.2431983919731052E-3</v>
      </c>
      <c r="R54" s="105">
        <f>IF($B$13=0,0,(8.22*10^(-9)*$F$10*$B$8*1.024^($B$4-20)*$F$9*10^6*18/($B$13*10.758*$F$4)))*(IF(ABS('Chemical Properties'!F48)&gt;0,'Chemical Properties'!F48,'Chemical Properties'!F11)/0.000024)^(0.5)</f>
        <v>1.3356803474313348E-2</v>
      </c>
      <c r="S54" s="105">
        <f>1.35*10^(-7)*$N$77^(1.42)*$N$76^(0.4)*O54^(0.5)*$N$78^(-0.21)*IF(ABS('Chemical Properties'!G48)&gt;0,'Chemical Properties'!G48,'Chemical Properties'!G11)*29*$F$11^(-1)</f>
        <v>8.9907654204574985E-2</v>
      </c>
      <c r="T54" s="105">
        <f>IF(ABS('Chemical Properties'!E48)&gt;0,'Chemical Properties'!E48,'Chemical Properties'!E11)/($F$5*($B$4+273.15))</f>
        <v>0.11234525207517</v>
      </c>
      <c r="U54" s="105">
        <f t="shared" si="6"/>
        <v>5.7513814443661999E-3</v>
      </c>
      <c r="V54" s="105">
        <f t="shared" si="7"/>
        <v>6.0795992880999763E-6</v>
      </c>
      <c r="W54" s="105">
        <f t="shared" si="4"/>
        <v>2.3511007605444673E-3</v>
      </c>
      <c r="X54" s="105">
        <f t="shared" si="5"/>
        <v>3.9864487764847887</v>
      </c>
      <c r="Y54" s="105">
        <f>((IF(ABS('Chemical Properties'!J48)&gt;0,'Chemical Properties'!J48,'Chemical Properties'!J11)/$B$6)*(W54*$B$3+($B$12*AA54*$B$15)+($B$6-$B$12))+((IF(ABS('Chemical Properties'!I48)&gt;0,'Chemical Properties'!I48,'Chemical Properties'!I11)*$B$10*$B$3*$B$7)/$B$6)-B26)</f>
        <v>1348.3132071091843</v>
      </c>
      <c r="Z54" s="105">
        <f>-IF(ABS('Chemical Properties'!J48)&gt;0,'Chemical Properties'!J48,'Chemical Properties'!J11)*B26</f>
        <v>-282.72727272727275</v>
      </c>
      <c r="AA54" s="105">
        <f>0.000001*$F$15*'Chemical Properties'!N11</f>
        <v>1.3756689654521078E-4</v>
      </c>
      <c r="AB54" s="105">
        <f t="shared" si="8"/>
        <v>3.8932710352065789</v>
      </c>
      <c r="AC54" s="105">
        <f>((IF(ABS('Chemical Properties'!J48)&gt;0,'Chemical Properties'!J48,'Chemical Properties'!J11)/$B$6)*(W54*$B$3+($F$16*$B$14*$B$6*$N$84*AA54)+($B$6-$B$12))+((IF(ABS('Chemical Properties'!I48)&gt;0,'Chemical Properties'!I48,'Chemical Properties'!I11)*$B$10*$B$3*$B$7)/$B$6)-B26)</f>
        <v>1293.6965911659813</v>
      </c>
      <c r="AD54" s="105">
        <f>-IF(ABS('Chemical Properties'!J48)&gt;0,'Chemical Properties'!J48,'Chemical Properties'!J11)*B26</f>
        <v>-282.72727272727275</v>
      </c>
    </row>
    <row r="55" spans="5:30">
      <c r="E55" s="124"/>
      <c r="F55" s="114"/>
      <c r="G55" s="115"/>
      <c r="M55" s="63" t="s">
        <v>70</v>
      </c>
      <c r="N55" s="105">
        <f>$F$3/($F$4*IF(ABS('Chemical Properties'!F49)&gt;0,'Chemical Properties'!F49,'Chemical Properties'!F12))</f>
        <v>826.85185185185185</v>
      </c>
      <c r="O55" s="105">
        <f>$F$6/($F$7*IF(ABS('Chemical Properties'!G49)&gt;0,'Chemical Properties'!G49,'Chemical Properties'!G12))</f>
        <v>0.60575635876840694</v>
      </c>
      <c r="P55" s="105">
        <f>IF($N$43&lt;3.25,0.00000278*(IF(ABS('Chemical Properties'!F49)&gt;0,'Chemical Properties'!F49,'Chemical Properties'!F12)/$F$14)^(2/3),IF($N$80&lt;14,IF($N$82&lt;0.3,0.000001+0.0144*$N$82^2.2*N55^(-0.5),0.000001+0.00341*$N$82*N55^(-0.5)),IF($N$80&lt;=51.2,(0.000000002605*$N$80+0.0000001277)*$N$43^2*(IF(ABS('Chemical Properties'!F49)&gt;0,'Chemical Properties'!F49,'Chemical Properties'!F12)/$F$14)^(2/3),0.000000261*$N$43^2*(IF(ABS('Chemical Properties'!F49)&gt;0,'Chemical Properties'!F49,'Chemical Properties'!F12)/$F$14)^(2/3))))</f>
        <v>6.9637250836583694E-6</v>
      </c>
      <c r="Q55" s="105">
        <f t="shared" si="3"/>
        <v>1.4471635148152844E-2</v>
      </c>
      <c r="R55" s="105">
        <f>IF($B$13=0,0,(8.22*10^(-9)*$F$10*$B$8*1.024^($B$4-20)*$F$9*10^6*18/($B$13*10.758*$F$4)))*(IF(ABS('Chemical Properties'!F49)&gt;0,'Chemical Properties'!F49,'Chemical Properties'!F12)/0.000024)^(0.5)</f>
        <v>1.551920322437429E-2</v>
      </c>
      <c r="S55" s="105">
        <f>1.35*10^(-7)*$N$77^(1.42)*$N$76^(0.4)*O55^(0.5)*$N$78^(-0.21)*IF(ABS('Chemical Properties'!G49)&gt;0,'Chemical Properties'!G49,'Chemical Properties'!G12)*29*$F$11^(-1)</f>
        <v>0.16837095132925431</v>
      </c>
      <c r="T55" s="105">
        <f>IF(ABS('Chemical Properties'!E49)&gt;0,'Chemical Properties'!E49,'Chemical Properties'!E12)/($F$5*($B$4+273.15))</f>
        <v>3.0067674737209136</v>
      </c>
      <c r="U55" s="105">
        <f t="shared" si="6"/>
        <v>1.5057611000111283E-2</v>
      </c>
      <c r="V55" s="105">
        <f t="shared" si="7"/>
        <v>6.9626107986473412E-6</v>
      </c>
      <c r="W55" s="105">
        <f t="shared" si="4"/>
        <v>6.1500844023548249E-3</v>
      </c>
      <c r="X55" s="105">
        <f t="shared" si="5"/>
        <v>8.4570062823783765</v>
      </c>
      <c r="Y55" s="105">
        <f>((IF(ABS('Chemical Properties'!J49)&gt;0,'Chemical Properties'!J49,'Chemical Properties'!J12)/$B$6)*(W55*$B$3+($B$12*AA55*$B$15)+($B$6-$B$12))+((IF(ABS('Chemical Properties'!I49)&gt;0,'Chemical Properties'!I49,'Chemical Properties'!I12)*$B$10*$B$3*$B$7)/$B$6)-B27)</f>
        <v>294.77455754293555</v>
      </c>
      <c r="Z55" s="105">
        <f>-IF(ABS('Chemical Properties'!J49)&gt;0,'Chemical Properties'!J49,'Chemical Properties'!J12)*B27</f>
        <v>-22.046017386959047</v>
      </c>
      <c r="AA55" s="105">
        <f>0.000001*$F$15*'Chemical Properties'!N12</f>
        <v>1.5435259662477542E-5</v>
      </c>
      <c r="AB55" s="105">
        <f t="shared" si="8"/>
        <v>8.5353313833109254</v>
      </c>
      <c r="AC55" s="105">
        <f>((IF(ABS('Chemical Properties'!J49)&gt;0,'Chemical Properties'!J49,'Chemical Properties'!J12)/$B$6)*(W55*$B$3+($F$16*$B$14*$B$6*$N$84*AA55)+($B$6-$B$12))+((IF(ABS('Chemical Properties'!I49)&gt;0,'Chemical Properties'!I49,'Chemical Properties'!I12)*$B$10*$B$3*$B$7)/$B$6)-B27)</f>
        <v>294.29671234123396</v>
      </c>
      <c r="AD55" s="105">
        <f>-IF(ABS('Chemical Properties'!J49)&gt;0,'Chemical Properties'!J49,'Chemical Properties'!J12)*B27</f>
        <v>-22.046017386959047</v>
      </c>
    </row>
    <row r="56" spans="5:30">
      <c r="E56" s="123"/>
      <c r="F56" s="114"/>
      <c r="G56" s="115"/>
      <c r="M56" s="63" t="s">
        <v>16</v>
      </c>
      <c r="N56" s="105">
        <f>$F$3/($F$4*IF(ABS('Chemical Properties'!F50)&gt;0,'Chemical Properties'!F50,'Chemical Properties'!F13))</f>
        <v>633.33333333333337</v>
      </c>
      <c r="O56" s="105">
        <f>$F$6/($F$7*IF(ABS('Chemical Properties'!G50)&gt;0,'Chemical Properties'!G50,'Chemical Properties'!G13))</f>
        <v>0.98829984034316398</v>
      </c>
      <c r="P56" s="105">
        <f>IF($N$43&lt;3.25,0.00000278*(IF(ABS('Chemical Properties'!F50)&gt;0,'Chemical Properties'!F50,'Chemical Properties'!F13)/$F$14)^(2/3),IF($N$80&lt;14,IF($N$82&lt;0.3,0.000001+0.0144*$N$82^2.2*N56^(-0.5),0.000001+0.00341*$N$82*N56^(-0.5)),IF($N$80&lt;=51.2,(0.000000002605*$N$80+0.0000001277)*$N$43^2*(IF(ABS('Chemical Properties'!F50)&gt;0,'Chemical Properties'!F50,'Chemical Properties'!F13)/$F$14)^(2/3),0.000000261*$N$43^2*(IF(ABS('Chemical Properties'!F50)&gt;0,'Chemical Properties'!F50,'Chemical Properties'!F13)/$F$14)^(2/3))))</f>
        <v>7.8142065508849333E-6</v>
      </c>
      <c r="Q56" s="105">
        <f t="shared" si="3"/>
        <v>1.0425137858235765E-2</v>
      </c>
      <c r="R56" s="105">
        <f>IF($B$13=0,0,(8.22*10^(-9)*$F$10*$B$8*1.024^($B$4-20)*$F$9*10^6*18/($B$13*10.758*$F$4)))*(IF(ABS('Chemical Properties'!F50)&gt;0,'Chemical Properties'!F50,'Chemical Properties'!F13)/0.000024)^(0.5)</f>
        <v>1.7732382829956719E-2</v>
      </c>
      <c r="S56" s="105">
        <f>1.35*10^(-7)*$N$77^(1.42)*$N$76^(0.4)*O56^(0.5)*$N$78^(-0.21)*IF(ABS('Chemical Properties'!G50)&gt;0,'Chemical Properties'!G50,'Chemical Properties'!G13)*29*$F$11^(-1)</f>
        <v>0.13181711249296016</v>
      </c>
      <c r="T56" s="105">
        <f>IF(ABS('Chemical Properties'!E50)&gt;0,'Chemical Properties'!E50,'Chemical Properties'!E13)/($F$5*($B$4+273.15))</f>
        <v>7.3535809436306684E-8</v>
      </c>
      <c r="U56" s="105">
        <f t="shared" si="6"/>
        <v>9.693272765969484E-9</v>
      </c>
      <c r="V56" s="105">
        <f t="shared" si="7"/>
        <v>7.6654574811375337E-10</v>
      </c>
      <c r="W56" s="105">
        <f t="shared" si="4"/>
        <v>4.4101077962181335E-9</v>
      </c>
      <c r="X56" s="105">
        <f t="shared" si="5"/>
        <v>0.90000756313541996</v>
      </c>
      <c r="Y56" s="105">
        <f>((IF(ABS('Chemical Properties'!J50)&gt;0,'Chemical Properties'!J50,'Chemical Properties'!J13)/$B$6)*(W56*$B$3+($B$12*AA56*$B$15)+($B$6-$B$12))+((IF(ABS('Chemical Properties'!I50)&gt;0,'Chemical Properties'!I50,'Chemical Properties'!I13)*$B$10*$B$3*$B$7)/$B$6)-B28)</f>
        <v>385.27510410326687</v>
      </c>
      <c r="Z56" s="105">
        <f>-IF(ABS('Chemical Properties'!J50)&gt;0,'Chemical Properties'!J50,'Chemical Properties'!J13)*B28</f>
        <v>-289.76897689768975</v>
      </c>
      <c r="AA56" s="105">
        <f>0.000001*$F$15*'Chemical Properties'!N13</f>
        <v>1.4405022463925467E-9</v>
      </c>
      <c r="AB56" s="105">
        <f t="shared" si="8"/>
        <v>1.0000055403161425</v>
      </c>
      <c r="AC56" s="105">
        <f>((IF(ABS('Chemical Properties'!J50)&gt;0,'Chemical Properties'!J50,'Chemical Properties'!J13)/$B$6)*(W56*$B$3+($F$16*$B$14*$B$6*$N$84*AA56)+($B$6-$B$12))+((IF(ABS('Chemical Properties'!I50)&gt;0,'Chemical Properties'!I50,'Chemical Properties'!I13)*$B$10*$B$3*$B$7)/$B$6)-B28)</f>
        <v>385.27451795299442</v>
      </c>
      <c r="AD56" s="105">
        <f>-IF(ABS('Chemical Properties'!J50)&gt;0,'Chemical Properties'!J50,'Chemical Properties'!J13)*B28</f>
        <v>-289.76897689768975</v>
      </c>
    </row>
    <row r="57" spans="5:30">
      <c r="E57" s="123"/>
      <c r="F57" s="114"/>
      <c r="G57" s="115"/>
      <c r="M57" s="60" t="s">
        <v>71</v>
      </c>
      <c r="N57" s="105">
        <f>$F$3/($F$4*IF(ABS('Chemical Properties'!F51)&gt;0,'Chemical Properties'!F51,'Chemical Properties'!F14))</f>
        <v>1144.8717948717949</v>
      </c>
      <c r="O57" s="105">
        <f>$F$6/($F$7*IF(ABS('Chemical Properties'!G51)&gt;0,'Chemical Properties'!G51,'Chemical Properties'!G14))</f>
        <v>2.0111111111111115</v>
      </c>
      <c r="P57" s="105">
        <f>IF($N$43&lt;3.25,0.00000278*(IF(ABS('Chemical Properties'!F51)&gt;0,'Chemical Properties'!F51,'Chemical Properties'!F14)/$F$14)^(2/3),IF($N$80&lt;14,IF($N$82&lt;0.3,0.000001+0.0144*$N$82^2.2*N57^(-0.5),0.000001+0.00341*$N$82*N57^(-0.5)),IF($N$80&lt;=51.2,(0.000000002605*$N$80+0.0000001277)*$N$43^2*(IF(ABS('Chemical Properties'!F51)&gt;0,'Chemical Properties'!F51,'Chemical Properties'!F14)/$F$14)^(2/3),0.000000261*$N$43^2*(IF(ABS('Chemical Properties'!F51)&gt;0,'Chemical Properties'!F51,'Chemical Properties'!F14)/$F$14)^(2/3))))</f>
        <v>6.0681917625461314E-6</v>
      </c>
      <c r="Q57" s="105">
        <f t="shared" si="3"/>
        <v>6.4767195010191E-3</v>
      </c>
      <c r="R57" s="105">
        <f>IF($B$13=0,0,(8.22*10^(-9)*$F$10*$B$8*1.024^($B$4-20)*$F$9*10^6*18/($B$13*10.758*$F$4)))*(IF(ABS('Chemical Properties'!F51)&gt;0,'Chemical Properties'!F51,'Chemical Properties'!F14)/0.000024)^(0.5)</f>
        <v>1.3188786679416096E-2</v>
      </c>
      <c r="S57" s="105">
        <f>1.35*10^(-7)*$N$77^(1.42)*$N$76^(0.4)*O57^(0.5)*$N$78^(-0.21)*IF(ABS('Chemical Properties'!G51)&gt;0,'Chemical Properties'!G51,'Chemical Properties'!G14)*29*$F$11^(-1)</f>
        <v>9.2405564382078864E-2</v>
      </c>
      <c r="T57" s="105">
        <f>IF(ABS('Chemical Properties'!E51)&gt;0,'Chemical Properties'!E51,'Chemical Properties'!E14)/($F$5*($B$4+273.15))</f>
        <v>5.6390017353864438E-3</v>
      </c>
      <c r="U57" s="105">
        <f t="shared" si="6"/>
        <v>5.0127046715788676E-4</v>
      </c>
      <c r="V57" s="105">
        <f t="shared" si="7"/>
        <v>5.2036088921108615E-6</v>
      </c>
      <c r="W57" s="105">
        <f t="shared" si="4"/>
        <v>2.0767987757201942E-4</v>
      </c>
      <c r="X57" s="105">
        <f t="shared" si="5"/>
        <v>1.1580773357201632</v>
      </c>
      <c r="Y57" s="105">
        <f>((IF(ABS('Chemical Properties'!J51)&gt;0,'Chemical Properties'!J51,'Chemical Properties'!J14)/$B$6)*(W57*$B$3+($B$12*AA57*$B$15)+($B$6-$B$12))+((IF(ABS('Chemical Properties'!I51)&gt;0,'Chemical Properties'!I51,'Chemical Properties'!I14)*$B$10*$B$3*$B$7)/$B$6)-B29)</f>
        <v>6.1856364380505084</v>
      </c>
      <c r="Z57" s="105">
        <f>-IF(ABS('Chemical Properties'!J51)&gt;0,'Chemical Properties'!J51,'Chemical Properties'!J14)*B29</f>
        <v>-1.6386813840923011</v>
      </c>
      <c r="AA57" s="105">
        <f>0.000001*$F$15*'Chemical Properties'!N14</f>
        <v>2.4463237962930282E-6</v>
      </c>
      <c r="AB57" s="105">
        <f t="shared" si="8"/>
        <v>1.2546420957222348</v>
      </c>
      <c r="AC57" s="105">
        <f>((IF(ABS('Chemical Properties'!J51)&gt;0,'Chemical Properties'!J51,'Chemical Properties'!J14)/$B$6)*(W57*$B$3+($F$16*$B$14*$B$6*$N$84*AA57)+($B$6-$B$12))+((IF(ABS('Chemical Properties'!I51)&gt;0,'Chemical Properties'!I51,'Chemical Properties'!I14)*$B$10*$B$3*$B$7)/$B$6)-B29)</f>
        <v>6.1800071742160139</v>
      </c>
      <c r="AD57" s="105">
        <f>-IF(ABS('Chemical Properties'!J51)&gt;0,'Chemical Properties'!J51,'Chemical Properties'!J14)*B29</f>
        <v>-1.6386813840923011</v>
      </c>
    </row>
    <row r="58" spans="5:30">
      <c r="E58" s="124"/>
      <c r="F58" s="114"/>
      <c r="G58" s="115"/>
      <c r="M58" s="62" t="s">
        <v>12</v>
      </c>
      <c r="N58" s="105">
        <f>$F$3/($F$4*IF(ABS('Chemical Properties'!F52)&gt;0,'Chemical Properties'!F52,'Chemical Properties'!F15))</f>
        <v>1038.3720930232557</v>
      </c>
      <c r="O58" s="105">
        <f>$F$6/($F$7*IF(ABS('Chemical Properties'!G52)&gt;0,'Chemical Properties'!G52,'Chemical Properties'!G15))</f>
        <v>1.7337164750957856</v>
      </c>
      <c r="P58" s="105">
        <f>IF($N$43&lt;3.25,0.00000278*(IF(ABS('Chemical Properties'!F52)&gt;0,'Chemical Properties'!F52,'Chemical Properties'!F15)/$F$14)^(2/3),IF($N$80&lt;14,IF($N$82&lt;0.3,0.000001+0.0144*$N$82^2.2*N58^(-0.5),0.000001+0.00341*$N$82*N58^(-0.5)),IF($N$80&lt;=51.2,(0.000000002605*$N$80+0.0000001277)*$N$43^2*(IF(ABS('Chemical Properties'!F52)&gt;0,'Chemical Properties'!F52,'Chemical Properties'!F15)/$F$14)^(2/3),0.000000261*$N$43^2*(IF(ABS('Chemical Properties'!F52)&gt;0,'Chemical Properties'!F52,'Chemical Properties'!F15)/$F$14)^(2/3))))</f>
        <v>6.3217560551329873E-6</v>
      </c>
      <c r="Q58" s="105">
        <f t="shared" si="3"/>
        <v>7.1538847852294666E-3</v>
      </c>
      <c r="R58" s="105">
        <f>IF($B$13=0,0,(8.22*10^(-9)*$F$10*$B$8*1.024^($B$4-20)*$F$9*10^6*18/($B$13*10.758*$F$4)))*(IF(ABS('Chemical Properties'!F52)&gt;0,'Chemical Properties'!F52,'Chemical Properties'!F15)/0.000024)^(0.5)</f>
        <v>1.3848628595651136E-2</v>
      </c>
      <c r="S58" s="105">
        <f>1.35*10^(-7)*$N$77^(1.42)*$N$76^(0.4)*O58^(0.5)*$N$78^(-0.21)*IF(ABS('Chemical Properties'!G52)&gt;0,'Chemical Properties'!G52,'Chemical Properties'!G15)*29*$F$11^(-1)</f>
        <v>9.9523838658754554E-2</v>
      </c>
      <c r="T58" s="105">
        <f>IF(ABS('Chemical Properties'!E52)&gt;0,'Chemical Properties'!E52,'Chemical Properties'!E15)/($F$5*($B$4+273.15))</f>
        <v>0.27126271773786503</v>
      </c>
      <c r="U58" s="105">
        <f t="shared" si="6"/>
        <v>9.1532910922819139E-3</v>
      </c>
      <c r="V58" s="105">
        <f t="shared" si="7"/>
        <v>6.3012287975369427E-6</v>
      </c>
      <c r="W58" s="105">
        <f t="shared" si="4"/>
        <v>3.7397664791993229E-3</v>
      </c>
      <c r="X58" s="105">
        <f t="shared" si="5"/>
        <v>5.6144449098135532</v>
      </c>
      <c r="Y58" s="105">
        <f>((IF(ABS('Chemical Properties'!J52)&gt;0,'Chemical Properties'!J52,'Chemical Properties'!J15)/$B$6)*(W58*$B$3+($B$12*AA58*$B$15)+($B$6-$B$12))+((IF(ABS('Chemical Properties'!I52)&gt;0,'Chemical Properties'!I52,'Chemical Properties'!I15)*$B$10*$B$3*$B$7)/$B$6)-B30)</f>
        <v>695.97142165545824</v>
      </c>
      <c r="Z58" s="105">
        <f>-IF(ABS('Chemical Properties'!J52)&gt;0,'Chemical Properties'!J52,'Chemical Properties'!J15)*B30</f>
        <v>-30.616666666666671</v>
      </c>
      <c r="AA58" s="105">
        <f>0.000001*$F$15*'Chemical Properties'!N15</f>
        <v>8.8820648529588301E-5</v>
      </c>
      <c r="AB58" s="105">
        <f t="shared" si="8"/>
        <v>5.5897188842019139</v>
      </c>
      <c r="AC58" s="105">
        <f>((IF(ABS('Chemical Properties'!J52)&gt;0,'Chemical Properties'!J52,'Chemical Properties'!J15)/$B$6)*(W58*$B$3+($F$16*$B$14*$B$6*$N$84*AA58)+($B$6-$B$12))+((IF(ABS('Chemical Properties'!I52)&gt;0,'Chemical Properties'!I52,'Chemical Properties'!I15)*$B$10*$B$3*$B$7)/$B$6)-B30)</f>
        <v>692.15272650464863</v>
      </c>
      <c r="AD58" s="105">
        <f>-IF(ABS('Chemical Properties'!J52)&gt;0,'Chemical Properties'!J52,'Chemical Properties'!J15)*B30</f>
        <v>-30.616666666666671</v>
      </c>
    </row>
    <row r="59" spans="5:30">
      <c r="E59" s="124"/>
      <c r="F59" s="114"/>
      <c r="G59" s="115"/>
      <c r="M59" s="62" t="s">
        <v>10</v>
      </c>
      <c r="N59" s="105">
        <f>$F$3/($F$4*IF(ABS('Chemical Properties'!F53)&gt;0,'Chemical Properties'!F53,'Chemical Properties'!F16))</f>
        <v>981.31868131868146</v>
      </c>
      <c r="O59" s="105">
        <f>$F$6/($F$7*IF(ABS('Chemical Properties'!G53)&gt;0,'Chemical Properties'!G53,'Chemical Properties'!G16))</f>
        <v>1.8394308943089432</v>
      </c>
      <c r="P59" s="105">
        <f>IF($N$43&lt;3.25,0.00000278*(IF(ABS('Chemical Properties'!F53)&gt;0,'Chemical Properties'!F53,'Chemical Properties'!F16)/$F$14)^(2/3),IF($N$80&lt;14,IF($N$82&lt;0.3,0.000001+0.0144*$N$82^2.2*N59^(-0.5),0.000001+0.00341*$N$82*N59^(-0.5)),IF($N$80&lt;=51.2,(0.000000002605*$N$80+0.0000001277)*$N$43^2*(IF(ABS('Chemical Properties'!F53)&gt;0,'Chemical Properties'!F53,'Chemical Properties'!F16)/$F$14)^(2/3),0.000000261*$N$43^2*(IF(ABS('Chemical Properties'!F53)&gt;0,'Chemical Properties'!F53,'Chemical Properties'!F16)/$F$14)^(2/3))))</f>
        <v>6.4742727704780299E-6</v>
      </c>
      <c r="Q59" s="105">
        <f t="shared" si="3"/>
        <v>6.8757380597184474E-3</v>
      </c>
      <c r="R59" s="105">
        <f>IF($B$13=0,0,(8.22*10^(-9)*$F$10*$B$8*1.024^($B$4-20)*$F$9*10^6*18/($B$13*10.758*$F$4)))*(IF(ABS('Chemical Properties'!F53)&gt;0,'Chemical Properties'!F53,'Chemical Properties'!F16)/0.000024)^(0.5)</f>
        <v>1.4245517765985224E-2</v>
      </c>
      <c r="S59" s="105">
        <f>1.35*10^(-7)*$N$77^(1.42)*$N$76^(0.4)*O59^(0.5)*$N$78^(-0.21)*IF(ABS('Chemical Properties'!G53)&gt;0,'Chemical Properties'!G53,'Chemical Properties'!G16)*29*$F$11^(-1)</f>
        <v>9.66216430522812E-2</v>
      </c>
      <c r="T59" s="105">
        <f>IF(ABS('Chemical Properties'!E53)&gt;0,'Chemical Properties'!E53,'Chemical Properties'!E16)/($F$5*($B$4+273.15))</f>
        <v>1.621856911776091E-5</v>
      </c>
      <c r="U59" s="105">
        <f t="shared" si="6"/>
        <v>1.5668924315854323E-6</v>
      </c>
      <c r="V59" s="105">
        <f t="shared" si="7"/>
        <v>1.0962639809597012E-7</v>
      </c>
      <c r="W59" s="105">
        <f t="shared" si="4"/>
        <v>7.0442886074473006E-7</v>
      </c>
      <c r="X59" s="105">
        <f t="shared" si="5"/>
        <v>0.90801785221960463</v>
      </c>
      <c r="Y59" s="105">
        <f>((IF(ABS('Chemical Properties'!J53)&gt;0,'Chemical Properties'!J53,'Chemical Properties'!J16)/$B$6)*(W59*$B$3+($B$12*AA59*$B$15)+($B$6-$B$12))+((IF(ABS('Chemical Properties'!I53)&gt;0,'Chemical Properties'!I53,'Chemical Properties'!I16)*$B$10*$B$3*$B$7)/$B$6)-B31)</f>
        <v>698.92104346143356</v>
      </c>
      <c r="Z59" s="105">
        <f>-IF(ABS('Chemical Properties'!J53)&gt;0,'Chemical Properties'!J53,'Chemical Properties'!J16)*B31</f>
        <v>-7.4615384615384617</v>
      </c>
      <c r="AA59" s="105">
        <f>0.000001*$F$15*'Chemical Properties'!N16</f>
        <v>4.7699512434615613E-6</v>
      </c>
      <c r="AB59" s="105">
        <f t="shared" si="8"/>
        <v>1.0013196680607706</v>
      </c>
      <c r="AC59" s="105">
        <f>((IF(ABS('Chemical Properties'!J53)&gt;0,'Chemical Properties'!J53,'Chemical Properties'!J16)/$B$6)*(W59*$B$3+($F$16*$B$14*$B$6*$N$84*AA59)+($B$6-$B$12))+((IF(ABS('Chemical Properties'!I53)&gt;0,'Chemical Properties'!I53,'Chemical Properties'!I16)*$B$10*$B$3*$B$7)/$B$6)-B31)</f>
        <v>698.87106470270987</v>
      </c>
      <c r="AD59" s="105">
        <f>-IF(ABS('Chemical Properties'!J53)&gt;0,'Chemical Properties'!J53,'Chemical Properties'!J16)*B31</f>
        <v>-7.4615384615384617</v>
      </c>
    </row>
    <row r="60" spans="5:30">
      <c r="E60" s="122"/>
      <c r="F60" s="114"/>
      <c r="G60" s="115"/>
      <c r="M60" s="63" t="s">
        <v>72</v>
      </c>
      <c r="N60" s="105">
        <f>$F$3/($F$4*IF(ABS('Chemical Properties'!F54)&gt;0,'Chemical Properties'!F54,'Chemical Properties'!F17))</f>
        <v>1149.2921492921494</v>
      </c>
      <c r="O60" s="105">
        <f>$F$6/($F$7*IF(ABS('Chemical Properties'!G54)&gt;0,'Chemical Properties'!G54,'Chemical Properties'!G17))</f>
        <v>0.75416666666666676</v>
      </c>
      <c r="P60" s="105">
        <f>IF($N$43&lt;3.25,0.00000278*(IF(ABS('Chemical Properties'!F54)&gt;0,'Chemical Properties'!F54,'Chemical Properties'!F17)/$F$14)^(2/3),IF($N$80&lt;14,IF($N$82&lt;0.3,0.000001+0.0144*$N$82^2.2*N60^(-0.5),0.000001+0.00341*$N$82*N60^(-0.5)),IF($N$80&lt;=51.2,(0.000000002605*$N$80+0.0000001277)*$N$43^2*(IF(ABS('Chemical Properties'!F54)&gt;0,'Chemical Properties'!F54,'Chemical Properties'!F17)/$F$14)^(2/3),0.000000261*$N$43^2*(IF(ABS('Chemical Properties'!F54)&gt;0,'Chemical Properties'!F54,'Chemical Properties'!F17)/$F$14)^(2/3))))</f>
        <v>6.058435850203629E-6</v>
      </c>
      <c r="Q60" s="105">
        <f t="shared" si="3"/>
        <v>1.2495514399308837E-2</v>
      </c>
      <c r="R60" s="105">
        <f>IF($B$13=0,0,(8.22*10^(-9)*$F$10*$B$8*1.024^($B$4-20)*$F$9*10^6*18/($B$13*10.758*$F$4)))*(IF(ABS('Chemical Properties'!F54)&gt;0,'Chemical Properties'!F54,'Chemical Properties'!F17)/0.000024)^(0.5)</f>
        <v>1.3163399193548015E-2</v>
      </c>
      <c r="S60" s="105">
        <f>1.35*10^(-7)*$N$77^(1.42)*$N$76^(0.4)*O60^(0.5)*$N$78^(-0.21)*IF(ABS('Chemical Properties'!G54)&gt;0,'Chemical Properties'!G54,'Chemical Properties'!G17)*29*$F$11^(-1)</f>
        <v>0.15089765475332853</v>
      </c>
      <c r="T60" s="105">
        <f>IF(ABS('Chemical Properties'!E54)&gt;0,'Chemical Properties'!E54,'Chemical Properties'!E17)/($F$5*($B$4+273.15))</f>
        <v>4.9840439102439058</v>
      </c>
      <c r="U60" s="105">
        <f t="shared" si="6"/>
        <v>1.293696802555277E-2</v>
      </c>
      <c r="V60" s="105">
        <f t="shared" si="7"/>
        <v>6.0578465415994367E-6</v>
      </c>
      <c r="W60" s="105">
        <f t="shared" si="4"/>
        <v>5.2839803685869758E-3</v>
      </c>
      <c r="X60" s="105">
        <f t="shared" si="5"/>
        <v>9.7420949085161066</v>
      </c>
      <c r="Y60" s="105">
        <f>((IF(ABS('Chemical Properties'!J54)&gt;0,'Chemical Properties'!J54,'Chemical Properties'!J17)/$B$6)*(W60*$B$3+($B$12*AA60*$B$15)+($B$6-$B$12))+((IF(ABS('Chemical Properties'!I54)&gt;0,'Chemical Properties'!I54,'Chemical Properties'!I17)*$B$10*$B$3*$B$7)/$B$6)-B32)</f>
        <v>209.84070813626511</v>
      </c>
      <c r="Z60" s="105">
        <f>-IF(ABS('Chemical Properties'!J54)&gt;0,'Chemical Properties'!J54,'Chemical Properties'!J17)*B32</f>
        <v>-10.41967452478112</v>
      </c>
      <c r="AA60" s="105">
        <f>0.000001*$F$15*'Chemical Properties'!N17</f>
        <v>1.579479304664707E-3</v>
      </c>
      <c r="AB60" s="105">
        <f t="shared" si="8"/>
        <v>7.6241176761044605</v>
      </c>
      <c r="AC60" s="105">
        <f>((IF(ABS('Chemical Properties'!J54)&gt;0,'Chemical Properties'!J54,'Chemical Properties'!J17)/$B$6)*(W60*$B$3+($F$16*$B$14*$B$6*$N$84*AA60)+($B$6-$B$12))+((IF(ABS('Chemical Properties'!I54)&gt;0,'Chemical Properties'!I54,'Chemical Properties'!I17)*$B$10*$B$3*$B$7)/$B$6)-B32)</f>
        <v>186.73010727116096</v>
      </c>
      <c r="AD60" s="105">
        <f>-IF(ABS('Chemical Properties'!J54)&gt;0,'Chemical Properties'!J54,'Chemical Properties'!J17)*B32</f>
        <v>-10.41967452478112</v>
      </c>
    </row>
    <row r="61" spans="5:30">
      <c r="E61" s="123"/>
      <c r="F61" s="114"/>
      <c r="G61" s="115"/>
      <c r="M61" s="63" t="s">
        <v>73</v>
      </c>
      <c r="N61" s="105">
        <f>$F$3/($F$4*IF(ABS('Chemical Properties'!F55)&gt;0,'Chemical Properties'!F55,'Chemical Properties'!F18))</f>
        <v>960.21505376344078</v>
      </c>
      <c r="O61" s="105">
        <f>$F$6/($F$7*IF(ABS('Chemical Properties'!G55)&gt;0,'Chemical Properties'!G55,'Chemical Properties'!G18))</f>
        <v>2.1733909702209413</v>
      </c>
      <c r="P61" s="105">
        <f>IF($N$43&lt;3.25,0.00000278*(IF(ABS('Chemical Properties'!F55)&gt;0,'Chemical Properties'!F55,'Chemical Properties'!F18)/$F$14)^(2/3),IF($N$80&lt;14,IF($N$82&lt;0.3,0.000001+0.0144*$N$82^2.2*N61^(-0.5),0.000001+0.00341*$N$82*N61^(-0.5)),IF($N$80&lt;=51.2,(0.000000002605*$N$80+0.0000001277)*$N$43^2*(IF(ABS('Chemical Properties'!F55)&gt;0,'Chemical Properties'!F55,'Chemical Properties'!F18)/$F$14)^(2/3),0.000000261*$N$43^2*(IF(ABS('Chemical Properties'!F55)&gt;0,'Chemical Properties'!F55,'Chemical Properties'!F18)/$F$14)^(2/3))))</f>
        <v>6.5341026650847605E-6</v>
      </c>
      <c r="Q61" s="105">
        <f t="shared" si="3"/>
        <v>6.1485808401953177E-3</v>
      </c>
      <c r="R61" s="105">
        <f>IF($B$13=0,0,(8.22*10^(-9)*$F$10*$B$8*1.024^($B$4-20)*$F$9*10^6*18/($B$13*10.758*$F$4)))*(IF(ABS('Chemical Properties'!F55)&gt;0,'Chemical Properties'!F55,'Chemical Properties'!F18)/0.000024)^(0.5)</f>
        <v>1.4401211108697989E-2</v>
      </c>
      <c r="S61" s="105">
        <f>1.35*10^(-7)*$N$77^(1.42)*$N$76^(0.4)*O61^(0.5)*$N$78^(-0.21)*IF(ABS('Chemical Properties'!G55)&gt;0,'Chemical Properties'!G55,'Chemical Properties'!G18)*29*$F$11^(-1)</f>
        <v>8.8888837695680262E-2</v>
      </c>
      <c r="T61" s="105">
        <f>IF(ABS('Chemical Properties'!E55)&gt;0,'Chemical Properties'!E55,'Chemical Properties'!E18)/($F$5*($B$4+273.15))</f>
        <v>6.618156667700924E-5</v>
      </c>
      <c r="U61" s="105">
        <f t="shared" si="6"/>
        <v>5.8804004328690536E-6</v>
      </c>
      <c r="V61" s="105">
        <f t="shared" si="7"/>
        <v>3.8306656980891011E-7</v>
      </c>
      <c r="W61" s="105">
        <f t="shared" si="4"/>
        <v>2.6268763098334585E-6</v>
      </c>
      <c r="X61" s="105">
        <f t="shared" si="5"/>
        <v>0.90345484537524567</v>
      </c>
      <c r="Y61" s="105">
        <f>((IF(ABS('Chemical Properties'!J55)&gt;0,'Chemical Properties'!J55,'Chemical Properties'!J18)/$B$6)*(W61*$B$3+($B$12*AA61*$B$15)+($B$6-$B$12))+((IF(ABS('Chemical Properties'!I55)&gt;0,'Chemical Properties'!I55,'Chemical Properties'!I18)*$B$10*$B$3*$B$7)/$B$6)-B33)</f>
        <v>164.57648792805671</v>
      </c>
      <c r="Z61" s="105">
        <f>-IF(ABS('Chemical Properties'!J55)&gt;0,'Chemical Properties'!J55,'Chemical Properties'!J18)*B33</f>
        <v>-1.3529411764705883</v>
      </c>
      <c r="AA61" s="105">
        <f>0.000001*$F$15*'Chemical Properties'!N18</f>
        <v>1.5794793046647064E-7</v>
      </c>
      <c r="AB61" s="105">
        <f t="shared" si="8"/>
        <v>1.0032330476520046</v>
      </c>
      <c r="AC61" s="105">
        <f>((IF(ABS('Chemical Properties'!J55)&gt;0,'Chemical Properties'!J55,'Chemical Properties'!J18)/$B$6)*(W61*$B$3+($F$16*$B$14*$B$6*$N$84*AA61)+($B$6-$B$12))+((IF(ABS('Chemical Properties'!I55)&gt;0,'Chemical Properties'!I55,'Chemical Properties'!I18)*$B$10*$B$3*$B$7)/$B$6)-B33)</f>
        <v>164.57618784878409</v>
      </c>
      <c r="AD61" s="105">
        <f>-IF(ABS('Chemical Properties'!J55)&gt;0,'Chemical Properties'!J55,'Chemical Properties'!J18)*B33</f>
        <v>-1.3529411764705883</v>
      </c>
    </row>
    <row r="62" spans="5:30">
      <c r="E62" s="123"/>
      <c r="F62" s="114"/>
      <c r="G62" s="115"/>
      <c r="M62" s="64" t="s">
        <v>74</v>
      </c>
      <c r="N62" s="105">
        <f>$F$3/($F$4*IF(ABS('Chemical Properties'!F56)&gt;0,'Chemical Properties'!F56,'Chemical Properties'!F19))</f>
        <v>956.10278372591006</v>
      </c>
      <c r="O62" s="105">
        <f>$F$6/($F$7*IF(ABS('Chemical Properties'!G56)&gt;0,'Chemical Properties'!G56,'Chemical Properties'!G19))</f>
        <v>2.1125116713352012</v>
      </c>
      <c r="P62" s="105">
        <f>IF($N$43&lt;3.25,0.00000278*(IF(ABS('Chemical Properties'!F56)&gt;0,'Chemical Properties'!F56,'Chemical Properties'!F19)/$F$14)^(2/3),IF($N$80&lt;14,IF($N$82&lt;0.3,0.000001+0.0144*$N$82^2.2*N62^(-0.5),0.000001+0.00341*$N$82*N62^(-0.5)),IF($N$80&lt;=51.2,(0.000000002605*$N$80+0.0000001277)*$N$43^2*(IF(ABS('Chemical Properties'!F56)&gt;0,'Chemical Properties'!F56,'Chemical Properties'!F19)/$F$14)^(2/3),0.000000261*$N$43^2*(IF(ABS('Chemical Properties'!F56)&gt;0,'Chemical Properties'!F56,'Chemical Properties'!F19)/$F$14)^(2/3))))</f>
        <v>6.5459911914930456E-6</v>
      </c>
      <c r="Q62" s="105">
        <f t="shared" si="3"/>
        <v>6.2667424158220544E-3</v>
      </c>
      <c r="R62" s="105">
        <f>IF($B$13=0,0,(8.22*10^(-9)*$F$10*$B$8*1.024^($B$4-20)*$F$9*10^6*18/($B$13*10.758*$F$4)))*(IF(ABS('Chemical Properties'!F56)&gt;0,'Chemical Properties'!F56,'Chemical Properties'!F19)/0.000024)^(0.5)</f>
        <v>1.4432148225144568E-2</v>
      </c>
      <c r="S62" s="105">
        <f>1.35*10^(-7)*$N$77^(1.42)*$N$76^(0.4)*O62^(0.5)*$N$78^(-0.21)*IF(ABS('Chemical Properties'!G56)&gt;0,'Chemical Properties'!G56,'Chemical Properties'!G19)*29*$F$11^(-1)</f>
        <v>9.0160559497984155E-2</v>
      </c>
      <c r="T62" s="105">
        <f>IF(ABS('Chemical Properties'!E56)&gt;0,'Chemical Properties'!E56,'Chemical Properties'!E19)/($F$5*($B$4+273.15))</f>
        <v>0.24680162834678984</v>
      </c>
      <c r="U62" s="105">
        <f t="shared" si="6"/>
        <v>8.754268216069656E-3</v>
      </c>
      <c r="V62" s="105">
        <f t="shared" si="7"/>
        <v>6.518402776888026E-6</v>
      </c>
      <c r="W62" s="105">
        <f t="shared" si="4"/>
        <v>3.5770285306514871E-3</v>
      </c>
      <c r="X62" s="105">
        <f t="shared" si="5"/>
        <v>5.6322931133182212</v>
      </c>
      <c r="Y62" s="105">
        <f>((IF(ABS('Chemical Properties'!J56)&gt;0,'Chemical Properties'!J56,'Chemical Properties'!J19)/$B$6)*(W62*$B$3+($B$12*AA62*$B$15)+($B$6-$B$12))+((IF(ABS('Chemical Properties'!I56)&gt;0,'Chemical Properties'!I56,'Chemical Properties'!I19)*$B$10*$B$3*$B$7)/$B$6)-B34)</f>
        <v>418.21531056854627</v>
      </c>
      <c r="Z62" s="105">
        <f>-IF(ABS('Chemical Properties'!J56)&gt;0,'Chemical Properties'!J56,'Chemical Properties'!J19)*B34</f>
        <v>-22.666666666666664</v>
      </c>
      <c r="AA62" s="105">
        <f>0.000001*$F$15*'Chemical Properties'!N19</f>
        <v>2.3362210884676578E-4</v>
      </c>
      <c r="AB62" s="105">
        <f t="shared" si="8"/>
        <v>5.4042302403956031</v>
      </c>
      <c r="AC62" s="105">
        <f>((IF(ABS('Chemical Properties'!J56)&gt;0,'Chemical Properties'!J56,'Chemical Properties'!J19)/$B$6)*(W62*$B$3+($F$16*$B$14*$B$6*$N$84*AA62)+($B$6-$B$12))+((IF(ABS('Chemical Properties'!I56)&gt;0,'Chemical Properties'!I56,'Chemical Properties'!I19)*$B$10*$B$3*$B$7)/$B$6)-B34)</f>
        <v>410.77921878230029</v>
      </c>
      <c r="AD62" s="105">
        <f>-IF(ABS('Chemical Properties'!J56)&gt;0,'Chemical Properties'!J56,'Chemical Properties'!J19)*B34</f>
        <v>-22.666666666666664</v>
      </c>
    </row>
    <row r="63" spans="5:30">
      <c r="E63" s="124"/>
      <c r="F63" s="114"/>
      <c r="G63" s="115"/>
      <c r="M63" s="63" t="s">
        <v>75</v>
      </c>
      <c r="N63" s="105">
        <f>$F$3/($F$4*IF(ABS('Chemical Properties'!F57)&gt;0,'Chemical Properties'!F57,'Chemical Properties'!F20))</f>
        <v>850.4761904761906</v>
      </c>
      <c r="O63" s="105">
        <f>$F$6/($F$7*IF(ABS('Chemical Properties'!G57)&gt;0,'Chemical Properties'!G57,'Chemical Properties'!G20))</f>
        <v>1.4729817708333335</v>
      </c>
      <c r="P63" s="105">
        <f>IF($N$43&lt;3.25,0.00000278*(IF(ABS('Chemical Properties'!F57)&gt;0,'Chemical Properties'!F57,'Chemical Properties'!F20)/$F$14)^(2/3),IF($N$80&lt;14,IF($N$82&lt;0.3,0.000001+0.0144*$N$82^2.2*N63^(-0.5),0.000001+0.00341*$N$82*N63^(-0.5)),IF($N$80&lt;=51.2,(0.000000002605*$N$80+0.0000001277)*$N$43^2*(IF(ABS('Chemical Properties'!F57)&gt;0,'Chemical Properties'!F57,'Chemical Properties'!F20)/$F$14)^(2/3),0.000000261*$N$43^2*(IF(ABS('Chemical Properties'!F57)&gt;0,'Chemical Properties'!F57,'Chemical Properties'!F20)/$F$14)^(2/3))))</f>
        <v>6.8803122332325578E-6</v>
      </c>
      <c r="Q63" s="105">
        <f t="shared" si="3"/>
        <v>7.9793040326923276E-3</v>
      </c>
      <c r="R63" s="105">
        <f>IF($B$13=0,0,(8.22*10^(-9)*$F$10*$B$8*1.024^($B$4-20)*$F$9*10^6*18/($B$13*10.758*$F$4)))*(IF(ABS('Chemical Properties'!F57)&gt;0,'Chemical Properties'!F57,'Chemical Properties'!F20)/0.000024)^(0.5)</f>
        <v>1.5302140740922517E-2</v>
      </c>
      <c r="S63" s="105">
        <f>1.35*10^(-7)*$N$77^(1.42)*$N$76^(0.4)*O63^(0.5)*$N$78^(-0.21)*IF(ABS('Chemical Properties'!G57)&gt;0,'Chemical Properties'!G57,'Chemical Properties'!G20)*29*$F$11^(-1)</f>
        <v>0.10797357237559578</v>
      </c>
      <c r="T63" s="105">
        <f>IF(ABS('Chemical Properties'!E57)&gt;0,'Chemical Properties'!E57,'Chemical Properties'!E20)/($F$5*($B$4+273.15))</f>
        <v>2.267844153849265E-2</v>
      </c>
      <c r="U63" s="105">
        <f t="shared" si="6"/>
        <v>2.1108852152654199E-3</v>
      </c>
      <c r="V63" s="105">
        <f t="shared" si="7"/>
        <v>6.6282941518580226E-6</v>
      </c>
      <c r="W63" s="105">
        <f t="shared" si="4"/>
        <v>8.655086701165771E-4</v>
      </c>
      <c r="X63" s="105">
        <f t="shared" si="5"/>
        <v>1.979131303760524</v>
      </c>
      <c r="Y63" s="105">
        <f>((IF(ABS('Chemical Properties'!J57)&gt;0,'Chemical Properties'!J57,'Chemical Properties'!J20)/$B$6)*(W63*$B$3+($B$12*AA63*$B$15)+($B$6-$B$12))+((IF(ABS('Chemical Properties'!I57)&gt;0,'Chemical Properties'!I57,'Chemical Properties'!I20)*$B$10*$B$3*$B$7)/$B$6)-B35)</f>
        <v>173.24514640060409</v>
      </c>
      <c r="Z63" s="105">
        <f>-IF(ABS('Chemical Properties'!J57)&gt;0,'Chemical Properties'!J57,'Chemical Properties'!J20)*B35</f>
        <v>-24.63925105656925</v>
      </c>
      <c r="AA63" s="105">
        <f>0.000001*$F$15*'Chemical Properties'!N20</f>
        <v>1.2588788578478174E-5</v>
      </c>
      <c r="AB63" s="105">
        <f t="shared" si="8"/>
        <v>2.061453549852482</v>
      </c>
      <c r="AC63" s="105">
        <f>((IF(ABS('Chemical Properties'!J57)&gt;0,'Chemical Properties'!J57,'Chemical Properties'!J20)/$B$6)*(W63*$B$3+($F$16*$B$14*$B$6*$N$84*AA63)+($B$6-$B$12))+((IF(ABS('Chemical Properties'!I57)&gt;0,'Chemical Properties'!I57,'Chemical Properties'!I20)*$B$10*$B$3*$B$7)/$B$6)-B35)</f>
        <v>172.80957978394758</v>
      </c>
      <c r="AD63" s="105">
        <f>-IF(ABS('Chemical Properties'!J57)&gt;0,'Chemical Properties'!J57,'Chemical Properties'!J20)*B35</f>
        <v>-24.63925105656925</v>
      </c>
    </row>
    <row r="64" spans="5:30">
      <c r="E64" s="124"/>
      <c r="F64" s="114"/>
      <c r="G64" s="115"/>
      <c r="M64" s="64" t="s">
        <v>78</v>
      </c>
      <c r="N64" s="105">
        <f>$F$3/($F$4*IF(ABS('Chemical Properties'!F58)&gt;0,'Chemical Properties'!F58,'Chemical Properties'!F21))</f>
        <v>1089.0243902439026</v>
      </c>
      <c r="O64" s="105">
        <f>$F$6/($F$7*IF(ABS('Chemical Properties'!G58)&gt;0,'Chemical Properties'!G58,'Chemical Properties'!G21))</f>
        <v>3.7334983498349841</v>
      </c>
      <c r="P64" s="105">
        <f>IF($N$43&lt;3.25,0.00000278*(IF(ABS('Chemical Properties'!F58)&gt;0,'Chemical Properties'!F58,'Chemical Properties'!F21)/$F$14)^(2/3),IF($N$80&lt;14,IF($N$82&lt;0.3,0.000001+0.0144*$N$82^2.2*N64^(-0.5),0.000001+0.00341*$N$82*N64^(-0.5)),IF($N$80&lt;=51.2,(0.000000002605*$N$80+0.0000001277)*$N$43^2*(IF(ABS('Chemical Properties'!F58)&gt;0,'Chemical Properties'!F58,'Chemical Properties'!F21)/$F$14)^(2/3),0.000000261*$N$43^2*(IF(ABS('Chemical Properties'!F58)&gt;0,'Chemical Properties'!F58,'Chemical Properties'!F21)/$F$14)^(2/3))))</f>
        <v>6.196520723151456E-6</v>
      </c>
      <c r="Q64" s="105">
        <f t="shared" si="3"/>
        <v>4.2789731055326626E-3</v>
      </c>
      <c r="R64" s="105">
        <f>IF($B$13=0,0,(8.22*10^(-9)*$F$10*$B$8*1.024^($B$4-20)*$F$9*10^6*18/($B$13*10.758*$F$4)))*(IF(ABS('Chemical Properties'!F58)&gt;0,'Chemical Properties'!F58,'Chemical Properties'!F21)/0.000024)^(0.5)</f>
        <v>1.3522732860916643E-2</v>
      </c>
      <c r="S64" s="105">
        <f>1.35*10^(-7)*$N$77^(1.42)*$N$76^(0.4)*O64^(0.5)*$N$78^(-0.21)*IF(ABS('Chemical Properties'!G58)&gt;0,'Chemical Properties'!G58,'Chemical Properties'!G21)*29*$F$11^(-1)</f>
        <v>6.7820060796427009E-2</v>
      </c>
      <c r="T64" s="105">
        <f>IF(ABS('Chemical Properties'!E58)&gt;0,'Chemical Properties'!E58,'Chemical Properties'!E21)/($F$5*($B$4+273.15))</f>
        <v>1.1438789302199128E-2</v>
      </c>
      <c r="U64" s="105">
        <f t="shared" si="6"/>
        <v>7.3368873723412826E-4</v>
      </c>
      <c r="V64" s="105">
        <f t="shared" si="7"/>
        <v>5.5002036284470076E-6</v>
      </c>
      <c r="W64" s="105">
        <f t="shared" si="4"/>
        <v>3.0272001326341898E-4</v>
      </c>
      <c r="X64" s="105">
        <f t="shared" si="5"/>
        <v>2.634175224400082</v>
      </c>
      <c r="Y64" s="105">
        <f>((IF(ABS('Chemical Properties'!J58)&gt;0,'Chemical Properties'!J58,'Chemical Properties'!J21)/$B$6)*(W64*$B$3+($B$12*AA64*$B$15)+($B$6-$B$12))+((IF(ABS('Chemical Properties'!I58)&gt;0,'Chemical Properties'!I58,'Chemical Properties'!I21)*$B$10*$B$3*$B$7)/$B$6)-B36)</f>
        <v>170.5203542359059</v>
      </c>
      <c r="Z64" s="105">
        <f>-IF(ABS('Chemical Properties'!J58)&gt;0,'Chemical Properties'!J58,'Chemical Properties'!J21)*B36</f>
        <v>-13.571428571428573</v>
      </c>
      <c r="AA64" s="105">
        <f>0.000001*$F$15*'Chemical Properties'!N21</f>
        <v>9.0889547210159583E-4</v>
      </c>
      <c r="AB64" s="105">
        <f t="shared" si="8"/>
        <v>1.4578625447658831</v>
      </c>
      <c r="AC64" s="105">
        <f>((IF(ABS('Chemical Properties'!J58)&gt;0,'Chemical Properties'!J58,'Chemical Properties'!J21)/$B$6)*(W64*$B$3+($F$16*$B$14*$B$6*$N$84*AA64)+($B$6-$B$12))+((IF(ABS('Chemical Properties'!I58)&gt;0,'Chemical Properties'!I58,'Chemical Properties'!I21)*$B$10*$B$3*$B$7)/$B$6)-B36)</f>
        <v>153.19896786944176</v>
      </c>
      <c r="AD64" s="105">
        <f>-IF(ABS('Chemical Properties'!J58)&gt;0,'Chemical Properties'!J58,'Chemical Properties'!J21)*B36</f>
        <v>-13.571428571428573</v>
      </c>
    </row>
    <row r="65" spans="5:30">
      <c r="E65" s="125"/>
      <c r="F65" s="114"/>
      <c r="G65" s="115"/>
      <c r="M65" s="65" t="s">
        <v>14</v>
      </c>
      <c r="N65" s="105">
        <f>$F$3/($F$4*IF(ABS('Chemical Properties'!F59)&gt;0,'Chemical Properties'!F59,'Chemical Properties'!F22))</f>
        <v>686.92307692307702</v>
      </c>
      <c r="O65" s="105">
        <f>$F$6/($F$7*IF(ABS('Chemical Properties'!G59)&gt;0,'Chemical Properties'!G59,'Chemical Properties'!G22))</f>
        <v>0.93279736136878999</v>
      </c>
      <c r="P65" s="105">
        <f>IF($N$43&lt;3.25,0.00000278*(IF(ABS('Chemical Properties'!F59)&gt;0,'Chemical Properties'!F59,'Chemical Properties'!F22)/$F$14)^(2/3),IF($N$80&lt;14,IF($N$82&lt;0.3,0.000001+0.0144*$N$82^2.2*N65^(-0.5),0.000001+0.00341*$N$82*N65^(-0.5)),IF($N$80&lt;=51.2,(0.000000002605*$N$80+0.0000001277)*$N$43^2*(IF(ABS('Chemical Properties'!F59)&gt;0,'Chemical Properties'!F59,'Chemical Properties'!F22)/$F$14)^(2/3),0.000000261*$N$43^2*(IF(ABS('Chemical Properties'!F59)&gt;0,'Chemical Properties'!F59,'Chemical Properties'!F22)/$F$14)^(2/3))))</f>
        <v>7.5430074305755941E-6</v>
      </c>
      <c r="Q65" s="105">
        <f t="shared" si="3"/>
        <v>1.0836767493946152E-2</v>
      </c>
      <c r="R65" s="105">
        <f>IF($B$13=0,0,(8.22*10^(-9)*$F$10*$B$8*1.024^($B$4-20)*$F$9*10^6*18/($B$13*10.758*$F$4)))*(IF(ABS('Chemical Properties'!F59)&gt;0,'Chemical Properties'!F59,'Chemical Properties'!F22)/0.000024)^(0.5)</f>
        <v>1.7026650388686917E-2</v>
      </c>
      <c r="S65" s="105">
        <f>1.35*10^(-7)*$N$77^(1.42)*$N$76^(0.4)*O65^(0.5)*$N$78^(-0.21)*IF(ABS('Chemical Properties'!G59)&gt;0,'Chemical Properties'!G59,'Chemical Properties'!G22)*29*$F$11^(-1)</f>
        <v>0.1356820829617133</v>
      </c>
      <c r="T65" s="105">
        <f>IF(ABS('Chemical Properties'!E59)&gt;0,'Chemical Properties'!E59,'Chemical Properties'!E22)/($F$5*($B$4+273.15))</f>
        <v>2.0099586916721326</v>
      </c>
      <c r="U65" s="105">
        <f t="shared" si="6"/>
        <v>1.6026081637527556E-2</v>
      </c>
      <c r="V65" s="105">
        <f t="shared" si="7"/>
        <v>7.5403961603812736E-6</v>
      </c>
      <c r="W65" s="105">
        <f t="shared" si="4"/>
        <v>6.5457204946775963E-3</v>
      </c>
      <c r="X65" s="105">
        <f t="shared" si="5"/>
        <v>8.920005583165258</v>
      </c>
      <c r="Y65" s="105">
        <f>((IF(ABS('Chemical Properties'!J59)&gt;0,'Chemical Properties'!J59,'Chemical Properties'!J22)/$B$6)*(W65*$B$3+($B$12*AA65*$B$15)+($B$6-$B$12))+((IF(ABS('Chemical Properties'!I59)&gt;0,'Chemical Properties'!I59,'Chemical Properties'!I22)*$B$10*$B$3*$B$7)/$B$6)-B37)</f>
        <v>261.14628109358443</v>
      </c>
      <c r="Z65" s="105">
        <f>-IF(ABS('Chemical Properties'!J59)&gt;0,'Chemical Properties'!J59,'Chemical Properties'!J22)*B37</f>
        <v>-17.121913733084138</v>
      </c>
      <c r="AA65" s="105">
        <f>0.000001*$F$15*'Chemical Properties'!N22</f>
        <v>9.9865145680190467E-7</v>
      </c>
      <c r="AB65" s="105">
        <f t="shared" si="8"/>
        <v>9.0186032310180924</v>
      </c>
      <c r="AC65" s="105">
        <f>((IF(ABS('Chemical Properties'!J59)&gt;0,'Chemical Properties'!J59,'Chemical Properties'!J22)/$B$6)*(W65*$B$3+($F$16*$B$14*$B$6*$N$84*AA65)+($B$6-$B$12))+((IF(ABS('Chemical Properties'!I59)&gt;0,'Chemical Properties'!I59,'Chemical Properties'!I22)*$B$10*$B$3*$B$7)/$B$6)-B37)</f>
        <v>261.12227014109726</v>
      </c>
      <c r="AD65" s="105">
        <f>-IF(ABS('Chemical Properties'!J59)&gt;0,'Chemical Properties'!J59,'Chemical Properties'!J22)*B37</f>
        <v>-17.121913733084138</v>
      </c>
    </row>
    <row r="66" spans="5:30">
      <c r="E66" s="124"/>
      <c r="F66" s="114"/>
      <c r="G66" s="115"/>
      <c r="M66" s="65" t="s">
        <v>79</v>
      </c>
      <c r="N66" s="105">
        <f>$F$3/($F$4*IF(ABS('Chemical Properties'!F60)&gt;0,'Chemical Properties'!F60,'Chemical Properties'!F23))</f>
        <v>902.02020202020208</v>
      </c>
      <c r="O66" s="105">
        <f>$F$6/($F$7*IF(ABS('Chemical Properties'!G60)&gt;0,'Chemical Properties'!G60,'Chemical Properties'!G23))</f>
        <v>1.4503205128205132</v>
      </c>
      <c r="P66" s="105">
        <f>IF($N$43&lt;3.25,0.00000278*(IF(ABS('Chemical Properties'!F60)&gt;0,'Chemical Properties'!F60,'Chemical Properties'!F23)/$F$14)^(2/3),IF($N$80&lt;14,IF($N$82&lt;0.3,0.000001+0.0144*$N$82^2.2*N66^(-0.5),0.000001+0.00341*$N$82*N66^(-0.5)),IF($N$80&lt;=51.2,(0.000000002605*$N$80+0.0000001277)*$N$43^2*(IF(ABS('Chemical Properties'!F60)&gt;0,'Chemical Properties'!F60,'Chemical Properties'!F23)/$F$14)^(2/3),0.000000261*$N$43^2*(IF(ABS('Chemical Properties'!F60)&gt;0,'Chemical Properties'!F60,'Chemical Properties'!F23)/$F$14)^(2/3))))</f>
        <v>6.7098320583009582E-6</v>
      </c>
      <c r="Q66" s="105">
        <f t="shared" si="3"/>
        <v>8.0626234907690639E-3</v>
      </c>
      <c r="R66" s="105">
        <f>IF($B$13=0,0,(8.22*10^(-9)*$F$10*$B$8*1.024^($B$4-20)*$F$9*10^6*18/($B$13*10.758*$F$4)))*(IF(ABS('Chemical Properties'!F60)&gt;0,'Chemical Properties'!F60,'Chemical Properties'!F23)/0.000024)^(0.5)</f>
        <v>1.4858505857795513E-2</v>
      </c>
      <c r="S66" s="105">
        <f>1.35*10^(-7)*$N$77^(1.42)*$N$76^(0.4)*O66^(0.5)*$N$78^(-0.21)*IF(ABS('Chemical Properties'!G60)&gt;0,'Chemical Properties'!G60,'Chemical Properties'!G23)*29*$F$11^(-1)</f>
        <v>0.10881384631207766</v>
      </c>
      <c r="T66" s="105">
        <f>IF(ABS('Chemical Properties'!E60)&gt;0,'Chemical Properties'!E60,'Chemical Properties'!E23)/($F$5*($B$4+273.15))</f>
        <v>5.7193946510995644E-2</v>
      </c>
      <c r="U66" s="105">
        <f t="shared" si="6"/>
        <v>4.3862923540034567E-3</v>
      </c>
      <c r="V66" s="105">
        <f t="shared" si="7"/>
        <v>6.6135992671464584E-6</v>
      </c>
      <c r="W66" s="105">
        <f t="shared" si="4"/>
        <v>1.794237580792171E-3</v>
      </c>
      <c r="X66" s="105">
        <f t="shared" si="5"/>
        <v>3.1050959633356019</v>
      </c>
      <c r="Y66" s="105">
        <f>((IF(ABS('Chemical Properties'!J60)&gt;0,'Chemical Properties'!J60,'Chemical Properties'!J23)/$B$6)*(W66*$B$3+($B$12*AA66*$B$15)+($B$6-$B$12))+((IF(ABS('Chemical Properties'!I60)&gt;0,'Chemical Properties'!I60,'Chemical Properties'!I23)*$B$10*$B$3*$B$7)/$B$6)-B38)</f>
        <v>20.659302639831861</v>
      </c>
      <c r="Z66" s="105">
        <f>-IF(ABS('Chemical Properties'!J60)&gt;0,'Chemical Properties'!J60,'Chemical Properties'!J23)*B38</f>
        <v>-2.1429</v>
      </c>
      <c r="AA66" s="105">
        <f>0.000001*$F$15*'Chemical Properties'!N23</f>
        <v>4.7699512434615613E-6</v>
      </c>
      <c r="AB66" s="105">
        <f t="shared" si="8"/>
        <v>3.1983977791767679</v>
      </c>
      <c r="AC66" s="105">
        <f>((IF(ABS('Chemical Properties'!J60)&gt;0,'Chemical Properties'!J60,'Chemical Properties'!J23)/$B$6)*(W66*$B$3+($F$16*$B$14*$B$6*$N$84*AA66)+($B$6-$B$12))+((IF(ABS('Chemical Properties'!I60)&gt;0,'Chemical Properties'!I60,'Chemical Properties'!I23)*$B$10*$B$3*$B$7)/$B$6)-B38)</f>
        <v>20.644949100997895</v>
      </c>
      <c r="AD66" s="105">
        <f>-IF(ABS('Chemical Properties'!J60)&gt;0,'Chemical Properties'!J60,'Chemical Properties'!J23)*B38</f>
        <v>-2.1429</v>
      </c>
    </row>
    <row r="67" spans="5:30">
      <c r="E67" s="125"/>
      <c r="F67" s="114"/>
      <c r="G67" s="115"/>
      <c r="M67" s="65" t="s">
        <v>15</v>
      </c>
      <c r="N67" s="105">
        <f>$F$3/($F$4*IF(ABS('Chemical Properties'!F61)&gt;0,'Chemical Properties'!F61,'Chemical Properties'!F24))</f>
        <v>911.22448979591843</v>
      </c>
      <c r="O67" s="105">
        <f>$F$6/($F$7*IF(ABS('Chemical Properties'!G61)&gt;0,'Chemical Properties'!G61,'Chemical Properties'!G24))</f>
        <v>2.1425189393939394</v>
      </c>
      <c r="P67" s="105">
        <f>IF($N$43&lt;3.25,0.00000278*(IF(ABS('Chemical Properties'!F61)&gt;0,'Chemical Properties'!F61,'Chemical Properties'!F24)/$F$14)^(2/3),IF($N$80&lt;14,IF($N$82&lt;0.3,0.000001+0.0144*$N$82^2.2*N67^(-0.5),0.000001+0.00341*$N$82*N67^(-0.5)),IF($N$80&lt;=51.2,(0.000000002605*$N$80+0.0000001277)*$N$43^2*(IF(ABS('Chemical Properties'!F61)&gt;0,'Chemical Properties'!F61,'Chemical Properties'!F24)/$F$14)^(2/3),0.000000261*$N$43^2*(IF(ABS('Chemical Properties'!F61)&gt;0,'Chemical Properties'!F61,'Chemical Properties'!F24)/$F$14)^(2/3))))</f>
        <v>6.6809213304666372E-6</v>
      </c>
      <c r="Q67" s="105">
        <f t="shared" si="3"/>
        <v>6.2078001037768797E-3</v>
      </c>
      <c r="R67" s="105">
        <f>IF($B$13=0,0,(8.22*10^(-9)*$F$10*$B$8*1.024^($B$4-20)*$F$9*10^6*18/($B$13*10.758*$F$4)))*(IF(ABS('Chemical Properties'!F61)&gt;0,'Chemical Properties'!F61,'Chemical Properties'!F24)/0.000024)^(0.5)</f>
        <v>1.4783272433328172E-2</v>
      </c>
      <c r="S67" s="105">
        <f>1.35*10^(-7)*$N$77^(1.42)*$N$76^(0.4)*O67^(0.5)*$N$78^(-0.21)*IF(ABS('Chemical Properties'!G61)&gt;0,'Chemical Properties'!G61,'Chemical Properties'!G24)*29*$F$11^(-1)</f>
        <v>8.9526956711033487E-2</v>
      </c>
      <c r="T67" s="105">
        <f>IF(ABS('Chemical Properties'!E61)&gt;0,'Chemical Properties'!E61,'Chemical Properties'!E24)/($F$5*($B$4+273.15))</f>
        <v>1.5810040928396652E-9</v>
      </c>
      <c r="U67" s="105">
        <f t="shared" si="6"/>
        <v>1.4154248362442456E-10</v>
      </c>
      <c r="V67" s="105">
        <f t="shared" si="7"/>
        <v>9.8145429536210316E-12</v>
      </c>
      <c r="W67" s="105">
        <f t="shared" si="4"/>
        <v>6.3581049349867368E-11</v>
      </c>
      <c r="X67" s="105">
        <f t="shared" si="5"/>
        <v>0.90000888036986515</v>
      </c>
      <c r="Y67" s="105">
        <f>((IF(ABS('Chemical Properties'!J61)&gt;0,'Chemical Properties'!J61,'Chemical Properties'!J24)/$B$6)*(W67*$B$3+($B$12*AA67*$B$15)+($B$6-$B$12))+((IF(ABS('Chemical Properties'!I61)&gt;0,'Chemical Properties'!I61,'Chemical Properties'!I24)*$B$10*$B$3*$B$7)/$B$6)-B39)</f>
        <v>118.5571771990348</v>
      </c>
      <c r="Z67" s="105">
        <f>-IF(ABS('Chemical Properties'!J61)&gt;0,'Chemical Properties'!J61,'Chemical Properties'!J24)*B39</f>
        <v>-70.909099999999995</v>
      </c>
      <c r="AA67" s="105">
        <f>0.000001*$F$15*'Chemical Properties'!N24</f>
        <v>5.8683220531284451E-9</v>
      </c>
      <c r="AB67" s="105">
        <f t="shared" si="8"/>
        <v>1.0000006398030734</v>
      </c>
      <c r="AC67" s="105">
        <f>((IF(ABS('Chemical Properties'!J61)&gt;0,'Chemical Properties'!J61,'Chemical Properties'!J24)/$B$6)*(W67*$B$3+($F$16*$B$14*$B$6*$N$84*AA67)+($B$6-$B$12))+((IF(ABS('Chemical Properties'!I61)&gt;0,'Chemical Properties'!I61,'Chemical Properties'!I24)*$B$10*$B$3*$B$7)/$B$6)-B39)</f>
        <v>118.5565928678601</v>
      </c>
      <c r="AD67" s="105">
        <f>-IF(ABS('Chemical Properties'!J61)&gt;0,'Chemical Properties'!J61,'Chemical Properties'!J24)*B39</f>
        <v>-70.909099999999995</v>
      </c>
    </row>
    <row r="68" spans="5:30">
      <c r="E68" s="126"/>
      <c r="F68" s="114"/>
      <c r="G68" s="115"/>
      <c r="M68" s="65" t="s">
        <v>80</v>
      </c>
      <c r="N68" s="105">
        <f>$F$3/($F$4*IF(ABS('Chemical Properties'!F62)&gt;0,'Chemical Properties'!F62,'Chemical Properties'!F25))</f>
        <v>1355.0834597875571</v>
      </c>
      <c r="O68" s="105">
        <f>$F$6/($F$7*IF(ABS('Chemical Properties'!G62)&gt;0,'Chemical Properties'!G62,'Chemical Properties'!G25))</f>
        <v>2.0577535243292409</v>
      </c>
      <c r="P68" s="105">
        <f>IF($N$43&lt;3.25,0.00000278*(IF(ABS('Chemical Properties'!F62)&gt;0,'Chemical Properties'!F62,'Chemical Properties'!F25)/$F$14)^(2/3),IF($N$80&lt;14,IF($N$82&lt;0.3,0.000001+0.0144*$N$82^2.2*N68^(-0.5),0.000001+0.00341*$N$82*N68^(-0.5)),IF($N$80&lt;=51.2,(0.000000002605*$N$80+0.0000001277)*$N$43^2*(IF(ABS('Chemical Properties'!F62)&gt;0,'Chemical Properties'!F62,'Chemical Properties'!F25)/$F$14)^(2/3),0.000000261*$N$43^2*(IF(ABS('Chemical Properties'!F62)&gt;0,'Chemical Properties'!F62,'Chemical Properties'!F25)/$F$14)^(2/3))))</f>
        <v>5.6585251520442802E-6</v>
      </c>
      <c r="Q68" s="105">
        <f t="shared" si="3"/>
        <v>6.3779881090884807E-3</v>
      </c>
      <c r="R68" s="105">
        <f>IF($B$13=0,0,(8.22*10^(-9)*$F$10*$B$8*1.024^($B$4-20)*$F$9*10^6*18/($B$13*10.758*$F$4)))*(IF(ABS('Chemical Properties'!F62)&gt;0,'Chemical Properties'!F62,'Chemical Properties'!F25)/0.000024)^(0.5)</f>
        <v>1.2122724898660973E-2</v>
      </c>
      <c r="S68" s="105">
        <f>1.35*10^(-7)*$N$77^(1.42)*$N$76^(0.4)*O68^(0.5)*$N$78^(-0.21)*IF(ABS('Chemical Properties'!G62)&gt;0,'Chemical Properties'!G62,'Chemical Properties'!G25)*29*$F$11^(-1)</f>
        <v>9.1352298602635384E-2</v>
      </c>
      <c r="T68" s="105">
        <f>IF(ABS('Chemical Properties'!E62)&gt;0,'Chemical Properties'!E62,'Chemical Properties'!E25)/($F$5*($B$4+273.15))</f>
        <v>123.78404137736914</v>
      </c>
      <c r="U68" s="105">
        <f t="shared" si="6"/>
        <v>1.2109742617060222E-2</v>
      </c>
      <c r="V68" s="105">
        <f t="shared" si="7"/>
        <v>5.6584845960525632E-6</v>
      </c>
      <c r="W68" s="105">
        <f t="shared" si="4"/>
        <v>4.9461009876426518E-3</v>
      </c>
      <c r="X68" s="105">
        <f t="shared" si="5"/>
        <v>167.13783389002836</v>
      </c>
      <c r="Y68" s="105">
        <f>((IF(ABS('Chemical Properties'!J62)&gt;0,'Chemical Properties'!J62,'Chemical Properties'!J25)/$B$6)*(W68*$B$3+($B$12*AA68*$B$15)+($B$6-$B$12))+((IF(ABS('Chemical Properties'!I62)&gt;0,'Chemical Properties'!I62,'Chemical Properties'!I25)*$B$10*$B$3*$B$7)/$B$6)-B40)</f>
        <v>1849.853079911027</v>
      </c>
      <c r="Z68" s="105">
        <f>-IF(ABS('Chemical Properties'!J62)&gt;0,'Chemical Properties'!J62,'Chemical Properties'!J25)*B40</f>
        <v>-10.41967452478112</v>
      </c>
      <c r="AA68" s="105">
        <f>0.000001*$F$15*'Chemical Properties'!N25</f>
        <v>0.10678590678677739</v>
      </c>
      <c r="AB68" s="105">
        <f t="shared" si="8"/>
        <v>17.284169225974463</v>
      </c>
      <c r="AC68" s="105">
        <f>((IF(ABS('Chemical Properties'!J62)&gt;0,'Chemical Properties'!J62,'Chemical Properties'!J25)/$B$6)*(W68*$B$3+($F$16*$B$14*$B$6*$N$84*AA68)+($B$6-$B$12))+((IF(ABS('Chemical Properties'!I62)&gt;0,'Chemical Properties'!I62,'Chemical Properties'!I25)*$B$10*$B$3*$B$7)/$B$6)-B40)</f>
        <v>287.38470031341376</v>
      </c>
      <c r="AD68" s="105">
        <f>-IF(ABS('Chemical Properties'!J62)&gt;0,'Chemical Properties'!J62,'Chemical Properties'!J25)*B40</f>
        <v>-10.41967452478112</v>
      </c>
    </row>
    <row r="69" spans="5:30">
      <c r="E69" s="126"/>
      <c r="F69" s="114"/>
      <c r="G69" s="115"/>
      <c r="M69" s="65" t="s">
        <v>59</v>
      </c>
      <c r="N69" s="105" t="e">
        <f>$F$3/($F$4*IF(ABS('Chemical Properties'!F63)&gt;0,'Chemical Properties'!F63,'Chemical Properties'!F26))</f>
        <v>#DIV/0!</v>
      </c>
      <c r="O69" s="105" t="e">
        <f>$F$6/($F$7*IF(ABS('Chemical Properties'!G63)&gt;0,'Chemical Properties'!G63,'Chemical Properties'!G26))</f>
        <v>#DIV/0!</v>
      </c>
      <c r="P69" s="105" t="e">
        <f>IF($N$43&lt;3.25,0.00000278*(IF(ABS('Chemical Properties'!F63)&gt;0,'Chemical Properties'!F63,'Chemical Properties'!F26)/$F$14)^(2/3),IF($N$80&lt;14,IF($N$82&lt;0.3,0.000001+0.0144*$N$82^2.2*N69^(-0.5),0.000001+0.00341*$N$82*N69^(-0.5)),IF($N$80&lt;=51.2,(0.000000002605*$N$80+0.0000001277)*$N$43^2*(IF(ABS('Chemical Properties'!F63)&gt;0,'Chemical Properties'!F63,'Chemical Properties'!F26)/$F$14)^(2/3),0.000000261*$N$43^2*(IF(ABS('Chemical Properties'!F63)&gt;0,'Chemical Properties'!F63,'Chemical Properties'!F26)/$F$14)^(2/3))))</f>
        <v>#DIV/0!</v>
      </c>
      <c r="Q69" s="105" t="e">
        <f t="shared" si="3"/>
        <v>#DIV/0!</v>
      </c>
      <c r="R69" s="105">
        <f>IF($B$13=0,0,(8.22*10^(-9)*$F$10*$B$8*1.024^($B$4-20)*$F$9*10^6*18/($B$13*10.758*$F$4)))*(IF(ABS('Chemical Properties'!F63)&gt;0,'Chemical Properties'!F63,'Chemical Properties'!F26)/0.000024)^(0.5)</f>
        <v>0</v>
      </c>
      <c r="S69" s="105" t="e">
        <f>1.35*10^(-7)*$N$77^(1.42)*$N$76^(0.4)*O69^(0.5)*$N$78^(-0.21)*IF(ABS('Chemical Properties'!G63)&gt;0,'Chemical Properties'!G63,'Chemical Properties'!G26)*29*$F$11^(-1)</f>
        <v>#DIV/0!</v>
      </c>
      <c r="T69" s="105">
        <f>IF(ABS('Chemical Properties'!E63)&gt;0,'Chemical Properties'!E63,'Chemical Properties'!E26)/($F$5*($B$4+273.15))</f>
        <v>0</v>
      </c>
      <c r="U69" s="105" t="e">
        <f>(R69*T69*S69)/(T69*S69+R69)</f>
        <v>#DIV/0!</v>
      </c>
      <c r="V69" s="105" t="e">
        <f>(P69*T69*Q69)/(T69*Q69+P69)</f>
        <v>#DIV/0!</v>
      </c>
      <c r="W69" s="105" t="e">
        <f t="shared" si="4"/>
        <v>#DIV/0!</v>
      </c>
      <c r="X69" s="105" t="e">
        <f t="shared" si="5"/>
        <v>#DIV/0!</v>
      </c>
      <c r="Y69" s="105" t="e">
        <f>((IF(ABS('Chemical Properties'!J63)&gt;0,'Chemical Properties'!J63,'Chemical Properties'!J26)/$B$6)*(W69*$B$3+($B$12*AA69*$B$15)+($B$6-$B$12))+((IF(ABS('Chemical Properties'!I63)&gt;0,'Chemical Properties'!I63,'Chemical Properties'!I26)*$B$10*$B$3*$B$7)/$B$6)-B41)</f>
        <v>#DIV/0!</v>
      </c>
      <c r="Z69" s="105">
        <f>-IF(ABS('Chemical Properties'!J63)&gt;0,'Chemical Properties'!J63,'Chemical Properties'!J26)*B41</f>
        <v>0</v>
      </c>
      <c r="AA69" s="105">
        <f>0.000001*$F$15*'Chemical Properties'!N26</f>
        <v>1.5794793046647064E-7</v>
      </c>
      <c r="AB69" s="105" t="e">
        <f t="shared" si="8"/>
        <v>#DIV/0!</v>
      </c>
      <c r="AC69" s="105" t="e">
        <f>((IF(ABS('Chemical Properties'!J63)&gt;0,'Chemical Properties'!J63,'Chemical Properties'!J26)/$B$6)*(W69*$B$3+($F$16*$B$14*$B$6*$N$84*AA69)+($B$6-$B$12))+((IF(ABS('Chemical Properties'!I63)&gt;0,'Chemical Properties'!I63,'Chemical Properties'!I26)*$B$10*$B$3*$B$7)/$B$6)-B41)</f>
        <v>#DIV/0!</v>
      </c>
      <c r="AD69" s="105">
        <f>-IF(ABS('Chemical Properties'!J63)&gt;0,'Chemical Properties'!J63,'Chemical Properties'!J26)*B41</f>
        <v>0</v>
      </c>
    </row>
    <row r="70" spans="5:30">
      <c r="E70" s="126"/>
      <c r="F70" s="114"/>
      <c r="G70" s="115"/>
      <c r="M70" s="81" t="s">
        <v>60</v>
      </c>
      <c r="N70" s="105" t="e">
        <f>$F$3/($F$4*IF(ABS('Chemical Properties'!F64)&gt;0,'Chemical Properties'!F64,'Chemical Properties'!F27))</f>
        <v>#DIV/0!</v>
      </c>
      <c r="O70" s="105" t="e">
        <f>$F$6/($F$7*IF(ABS('Chemical Properties'!G64)&gt;0,'Chemical Properties'!G64,'Chemical Properties'!G27))</f>
        <v>#DIV/0!</v>
      </c>
      <c r="P70" s="105" t="e">
        <f>IF($N$43&lt;3.25,0.00000278*(IF(ABS('Chemical Properties'!F64)&gt;0,'Chemical Properties'!F64,'Chemical Properties'!F27)/$F$14)^(2/3),IF($N$80&lt;14,IF($N$82&lt;0.3,0.000001+0.0144*$N$82^2.2*N70^(-0.5),0.000001+0.00341*$N$82*N70^(-0.5)),IF($N$80&lt;=51.2,(0.000000002605*$N$80+0.0000001277)*$N$43^2*(IF(ABS('Chemical Properties'!F64)&gt;0,'Chemical Properties'!F64,'Chemical Properties'!F27)/$F$14)^(2/3),0.000000261*$N$43^2*(IF(ABS('Chemical Properties'!F64)&gt;0,'Chemical Properties'!F64,'Chemical Properties'!F27)/$F$14)^(2/3))))</f>
        <v>#DIV/0!</v>
      </c>
      <c r="Q70" s="105" t="e">
        <f t="shared" si="3"/>
        <v>#DIV/0!</v>
      </c>
      <c r="R70" s="105">
        <f>IF($B$13=0,0,(8.22*10^(-9)*$F$10*$B$8*1.024^($B$4-20)*$F$9*10^6*18/($B$13*10.758*$F$4)))*(IF(ABS('Chemical Properties'!F64)&gt;0,'Chemical Properties'!F64,'Chemical Properties'!F27)/0.000024)^(0.5)</f>
        <v>0</v>
      </c>
      <c r="S70" s="105" t="e">
        <f>1.35*10^(-7)*$N$77^(1.42)*$N$76^(0.4)*O70^(0.5)*$N$78^(-0.21)*IF(ABS('Chemical Properties'!G64)&gt;0,'Chemical Properties'!G64,'Chemical Properties'!G27)*29*$F$11^(-1)</f>
        <v>#DIV/0!</v>
      </c>
      <c r="T70" s="105">
        <f>IF(ABS('Chemical Properties'!E64)&gt;0,'Chemical Properties'!E64,'Chemical Properties'!E27)/($F$5*($B$4+273.15))</f>
        <v>0</v>
      </c>
      <c r="U70" s="105" t="e">
        <f>(R70*T70*S70)/(T70*S70+R70)</f>
        <v>#DIV/0!</v>
      </c>
      <c r="V70" s="105" t="e">
        <f>(P70*T70*Q70)/(T70*Q70+P70)</f>
        <v>#DIV/0!</v>
      </c>
      <c r="W70" s="105" t="e">
        <f t="shared" si="4"/>
        <v>#DIV/0!</v>
      </c>
      <c r="X70" s="105" t="e">
        <f t="shared" si="5"/>
        <v>#DIV/0!</v>
      </c>
      <c r="Y70" s="105" t="e">
        <f>((IF(ABS('Chemical Properties'!J64)&gt;0,'Chemical Properties'!J64,'Chemical Properties'!J27)/$B$6)*(W70*$B$3+($B$12*AA70*$B$15)+($B$6-$B$12))+((IF(ABS('Chemical Properties'!I64)&gt;0,'Chemical Properties'!I64,'Chemical Properties'!I27)*$B$10*$B$3*$B$7)/$B$6)-B42)</f>
        <v>#DIV/0!</v>
      </c>
      <c r="Z70" s="105">
        <f>-IF(ABS('Chemical Properties'!J64)&gt;0,'Chemical Properties'!J64,'Chemical Properties'!J27)*B42</f>
        <v>0</v>
      </c>
      <c r="AA70" s="105">
        <f>0.000001*$F$15*'Chemical Properties'!N27</f>
        <v>1.5794793046647064E-7</v>
      </c>
      <c r="AB70" s="105" t="e">
        <f t="shared" si="8"/>
        <v>#DIV/0!</v>
      </c>
      <c r="AC70" s="105" t="e">
        <f>((IF(ABS('Chemical Properties'!J64)&gt;0,'Chemical Properties'!J64,'Chemical Properties'!J27)/$B$6)*(W70*$B$3+($F$16*$B$14*$B$6*$N$84*AA70)+($B$6-$B$12))+((IF(ABS('Chemical Properties'!I64)&gt;0,'Chemical Properties'!I64,'Chemical Properties'!I27)*$B$10*$B$3*$B$7)/$B$6)-B42)</f>
        <v>#DIV/0!</v>
      </c>
      <c r="AD70" s="105">
        <f>-IF(ABS('Chemical Properties'!J64)&gt;0,'Chemical Properties'!J64,'Chemical Properties'!J27)*B42</f>
        <v>0</v>
      </c>
    </row>
    <row r="71" spans="5:30">
      <c r="E71" s="126"/>
      <c r="F71" s="114"/>
      <c r="G71" s="115"/>
      <c r="M71" s="65" t="s">
        <v>61</v>
      </c>
      <c r="N71" s="105" t="e">
        <f>$F$3/($F$4*IF(ABS('Chemical Properties'!F65)&gt;0,'Chemical Properties'!F65,'Chemical Properties'!F28))</f>
        <v>#DIV/0!</v>
      </c>
      <c r="O71" s="105" t="e">
        <f>$F$6/($F$7*IF(ABS('Chemical Properties'!G65)&gt;0,'Chemical Properties'!G65,'Chemical Properties'!G28))</f>
        <v>#DIV/0!</v>
      </c>
      <c r="P71" s="105" t="e">
        <f>IF($N$43&lt;3.25,0.00000278*(IF(ABS('Chemical Properties'!F65)&gt;0,'Chemical Properties'!F65,'Chemical Properties'!F28)/$F$14)^(2/3),IF($N$80&lt;14,IF($N$82&lt;0.3,0.000001+0.0144*$N$82^2.2*N71^(-0.5),0.000001+0.00341*$N$82*N71^(-0.5)),IF($N$80&lt;=51.2,(0.000000002605*$N$80+0.0000001277)*$N$43^2*(IF(ABS('Chemical Properties'!F65)&gt;0,'Chemical Properties'!F65,'Chemical Properties'!F28)/$F$14)^(2/3),0.000000261*$N$43^2*(IF(ABS('Chemical Properties'!F65)&gt;0,'Chemical Properties'!F65,'Chemical Properties'!F28)/$F$14)^(2/3))))</f>
        <v>#DIV/0!</v>
      </c>
      <c r="Q71" s="105" t="e">
        <f t="shared" si="3"/>
        <v>#DIV/0!</v>
      </c>
      <c r="R71" s="105">
        <f>IF($B$13=0,0,(8.22*10^(-9)*$F$10*$B$8*1.024^($B$4-20)*$F$9*10^6*18/($B$13*10.758*$F$4)))*(IF(ABS('Chemical Properties'!F65)&gt;0,'Chemical Properties'!F65,'Chemical Properties'!F28)/0.000024)^(0.5)</f>
        <v>0</v>
      </c>
      <c r="S71" s="105" t="e">
        <f>1.35*10^(-7)*$N$77^(1.42)*$N$76^(0.4)*O71^(0.5)*$N$78^(-0.21)*IF(ABS('Chemical Properties'!G65)&gt;0,'Chemical Properties'!G65,'Chemical Properties'!G28)*29*$F$11^(-1)</f>
        <v>#DIV/0!</v>
      </c>
      <c r="T71" s="105">
        <f>IF(ABS('Chemical Properties'!E65)&gt;0,'Chemical Properties'!E65,'Chemical Properties'!E28)/($F$5*($B$4+273.15))</f>
        <v>0</v>
      </c>
      <c r="U71" s="105" t="e">
        <f>(R71*T71*S71)/(T71*S71+R71)</f>
        <v>#DIV/0!</v>
      </c>
      <c r="V71" s="105" t="e">
        <f>(P71*T71*Q71)/(T71*Q71+P71)</f>
        <v>#DIV/0!</v>
      </c>
      <c r="W71" s="105" t="e">
        <f t="shared" si="4"/>
        <v>#DIV/0!</v>
      </c>
      <c r="X71" s="105" t="e">
        <f t="shared" si="5"/>
        <v>#DIV/0!</v>
      </c>
      <c r="Y71" s="105" t="e">
        <f>((IF(ABS('Chemical Properties'!J65)&gt;0,'Chemical Properties'!J65,'Chemical Properties'!J28)/$B$6)*(W71*$B$3+($B$12*AA71*$B$15)+($B$6-$B$12))+((IF(ABS('Chemical Properties'!I65)&gt;0,'Chemical Properties'!I65,'Chemical Properties'!I28)*$B$10*$B$3*$B$7)/$B$6)-B43)</f>
        <v>#DIV/0!</v>
      </c>
      <c r="Z71" s="105">
        <f>-IF(ABS('Chemical Properties'!J65)&gt;0,'Chemical Properties'!J65,'Chemical Properties'!J28)*B43</f>
        <v>0</v>
      </c>
      <c r="AA71" s="105">
        <f>0.000001*$F$15*'Chemical Properties'!N28</f>
        <v>1.5794793046647064E-7</v>
      </c>
      <c r="AB71" s="105" t="e">
        <f t="shared" si="8"/>
        <v>#DIV/0!</v>
      </c>
      <c r="AC71" s="105" t="e">
        <f>((IF(ABS('Chemical Properties'!J65)&gt;0,'Chemical Properties'!J65,'Chemical Properties'!J28)/$B$6)*(W71*$B$3+($F$16*$B$14*$B$6*$N$84*AA71)+($B$6-$B$12))+((IF(ABS('Chemical Properties'!I65)&gt;0,'Chemical Properties'!I65,'Chemical Properties'!I28)*$B$10*$B$3*$B$7)/$B$6)-B43)</f>
        <v>#DIV/0!</v>
      </c>
      <c r="AD71" s="105">
        <f>-IF(ABS('Chemical Properties'!J65)&gt;0,'Chemical Properties'!J65,'Chemical Properties'!J28)*B43</f>
        <v>0</v>
      </c>
    </row>
    <row r="72" spans="5:30">
      <c r="E72" s="126"/>
      <c r="F72" s="114"/>
      <c r="G72" s="115"/>
      <c r="M72" s="65" t="s">
        <v>256</v>
      </c>
      <c r="N72" s="105">
        <f>$F$3/($F$4*IF(ABS('Chemical Properties'!F66)&gt;0,'Chemical Properties'!F66,'Chemical Properties'!F29))</f>
        <v>866.990291262136</v>
      </c>
      <c r="O72" s="105">
        <f>$F$6/($F$7*IF(ABS('Chemical Properties'!G66)&gt;0,'Chemical Properties'!G66,'Chemical Properties'!G29))</f>
        <v>1.5204973118279572</v>
      </c>
      <c r="P72" s="105">
        <f>IF($N$43&lt;3.25,0.00000278*(IF(ABS('Chemical Properties'!F66)&gt;0,'Chemical Properties'!F66,'Chemical Properties'!F29)/$F$14)^(2/3),IF($N$80&lt;14,IF($N$82&lt;0.3,0.000001+0.0144*$N$82^2.2*N72^(-0.5),0.000001+0.00341*$N$82*N72^(-0.5)),IF($N$80&lt;=51.2,(0.000000002605*$N$80+0.0000001277)*$N$43^2*(IF(ABS('Chemical Properties'!F66)&gt;0,'Chemical Properties'!F66,'Chemical Properties'!F29)/$F$14)^(2/3),0.000000261*$N$43^2*(IF(ABS('Chemical Properties'!F66)&gt;0,'Chemical Properties'!F66,'Chemical Properties'!F29)/$F$14)^(2/3))))</f>
        <v>6.8240400082935059E-6</v>
      </c>
      <c r="Q72" s="105">
        <f t="shared" si="3"/>
        <v>7.8113637605778654E-3</v>
      </c>
      <c r="R72" s="105">
        <f>IF($B$13=0,0,(8.22*10^(-9)*$F$10*$B$8*1.024^($B$4-20)*$F$9*10^6*18/($B$13*10.758*$F$4)))*(IF(ABS('Chemical Properties'!F66)&gt;0,'Chemical Properties'!F66,'Chemical Properties'!F29)/0.000024)^(0.5)</f>
        <v>1.5155705403534175E-2</v>
      </c>
      <c r="S72" s="105">
        <f>1.35*10^(-7)*$N$77^(1.42)*$N$76^(0.4)*O72^(0.5)*$N$78^(-0.21)*IF(ABS('Chemical Properties'!G66)&gt;0,'Chemical Properties'!G66,'Chemical Properties'!G29)*29*$F$11^(-1)</f>
        <v>0.10627309488382819</v>
      </c>
      <c r="T72" s="105">
        <f>IF(ABS('Chemical Properties'!E66)&gt;0,'Chemical Properties'!E66,'Chemical Properties'!E29)/($F$5*($B$4+273.15))</f>
        <v>38.810177989604185</v>
      </c>
      <c r="U72" s="105">
        <f>(R72*T72*S72)/(T72*S72+R72)</f>
        <v>1.5100218508383469E-2</v>
      </c>
      <c r="V72" s="105">
        <f>(P72*T72*Q72)/(T72*Q72+P72)</f>
        <v>6.8238864048839215E-6</v>
      </c>
      <c r="W72" s="105">
        <f t="shared" si="4"/>
        <v>6.1673931198655309E-3</v>
      </c>
      <c r="X72" s="105">
        <f t="shared" si="5"/>
        <v>8.6389665102383759</v>
      </c>
      <c r="Y72" s="105">
        <f>((IF(ABS('Chemical Properties'!J66)&gt;0,'Chemical Properties'!J66,'Chemical Properties'!J29)/$B$6)*(W72*$B$3+($B$12*AA72*$B$15)+($B$6-$B$12))+((IF(ABS('Chemical Properties'!I66)&gt;0,'Chemical Properties'!I66,'Chemical Properties'!I29)*$B$10*$B$3*$B$7)/$B$6)-B44)</f>
        <v>198.34646926716806</v>
      </c>
      <c r="Z72" s="105">
        <f>-IF(ABS('Chemical Properties'!J66)&gt;0,'Chemical Properties'!J66,'Chemical Properties'!J29)*B44</f>
        <v>-10.41967452478112</v>
      </c>
      <c r="AA72" s="105">
        <f>0.000001*$F$15*'Chemical Properties'!N29</f>
        <v>1.226066256020671E-4</v>
      </c>
      <c r="AB72" s="105">
        <f t="shared" si="8"/>
        <v>8.5667966670976146</v>
      </c>
      <c r="AC72" s="105">
        <f>((IF(ABS('Chemical Properties'!J66)&gt;0,'Chemical Properties'!J66,'Chemical Properties'!J29)/$B$6)*(W72*$B$3+($F$16*$B$14*$B$6*$N$84*AA72)+($B$6-$B$12))+((IF(ABS('Chemical Properties'!I66)&gt;0,'Chemical Properties'!I66,'Chemical Properties'!I29)*$B$10*$B$3*$B$7)/$B$6)-B44)</f>
        <v>196.55251553865867</v>
      </c>
      <c r="AD72" s="105">
        <f>-IF(ABS('Chemical Properties'!J66)&gt;0,'Chemical Properties'!J66,'Chemical Properties'!J29)*B44</f>
        <v>-10.41967452478112</v>
      </c>
    </row>
    <row r="73" spans="5:30">
      <c r="E73" s="126"/>
      <c r="F73" s="114"/>
      <c r="G73" s="115"/>
    </row>
    <row r="74" spans="5:30">
      <c r="E74" s="126"/>
      <c r="F74" s="114"/>
      <c r="G74" s="115"/>
      <c r="M74" s="91"/>
      <c r="N74" s="107"/>
      <c r="O74" s="107"/>
      <c r="P74" s="107"/>
      <c r="Q74" s="107"/>
      <c r="R74" s="107"/>
      <c r="S74" s="107"/>
      <c r="T74" s="107"/>
      <c r="U74" s="107"/>
      <c r="V74" s="107"/>
      <c r="W74" s="107"/>
      <c r="X74" s="107"/>
      <c r="Y74" s="107"/>
      <c r="Z74" s="107"/>
      <c r="AA74" s="107"/>
      <c r="AB74" s="107"/>
      <c r="AC74" s="107"/>
      <c r="AD74" s="107"/>
    </row>
    <row r="75" spans="5:30">
      <c r="E75" s="126"/>
      <c r="F75" s="114"/>
      <c r="G75" s="115"/>
      <c r="M75" s="55"/>
      <c r="N75" s="107"/>
      <c r="O75" s="107"/>
      <c r="P75" s="107"/>
      <c r="Q75" s="107"/>
      <c r="R75" s="107"/>
      <c r="S75" s="107"/>
      <c r="T75" s="107"/>
      <c r="U75" s="107"/>
      <c r="V75" s="107"/>
      <c r="W75" s="107"/>
      <c r="X75" s="106"/>
      <c r="Y75" s="106"/>
      <c r="Z75" s="106"/>
      <c r="AA75" s="106"/>
    </row>
    <row r="76" spans="5:30">
      <c r="E76" s="126"/>
      <c r="F76" s="114"/>
      <c r="G76" s="115"/>
      <c r="M76" s="71" t="s">
        <v>39</v>
      </c>
      <c r="N76" s="105">
        <f>(((0.85*550*B8/B9)*32.17)/((62.428*F4)*F13^(3)*(F11/30.48)^(5)))</f>
        <v>2.2507046475348197E-4</v>
      </c>
      <c r="O76" s="107"/>
      <c r="P76" s="107"/>
      <c r="Q76" s="107"/>
      <c r="R76" s="107"/>
      <c r="S76" s="107"/>
      <c r="T76" s="107"/>
      <c r="U76" s="107"/>
      <c r="V76" s="107"/>
      <c r="W76" s="107"/>
      <c r="X76" s="106"/>
      <c r="Y76" s="106"/>
      <c r="Z76" s="106"/>
      <c r="AA76" s="106"/>
    </row>
    <row r="77" spans="5:30">
      <c r="E77" s="126"/>
      <c r="F77" s="114"/>
      <c r="G77" s="115"/>
      <c r="M77" s="71" t="s">
        <v>40</v>
      </c>
      <c r="N77" s="105">
        <f>(F11^(2)*F13*F7/F6)</f>
        <v>3108371.2707182318</v>
      </c>
      <c r="O77" s="107"/>
      <c r="P77" s="107"/>
      <c r="Q77" s="107"/>
      <c r="R77" s="107"/>
      <c r="S77" s="107"/>
      <c r="T77" s="107"/>
      <c r="U77" s="107"/>
      <c r="V77" s="107"/>
      <c r="W77" s="106"/>
      <c r="X77" s="106"/>
      <c r="Y77" s="106"/>
      <c r="Z77" s="106"/>
      <c r="AA77" s="106"/>
    </row>
    <row r="78" spans="5:30">
      <c r="M78" s="71" t="s">
        <v>41</v>
      </c>
      <c r="N78" s="105">
        <f>F12*F13^(2)/32.17</f>
        <v>987.00652782095119</v>
      </c>
      <c r="O78" s="107"/>
      <c r="P78" s="107"/>
      <c r="Q78" s="107"/>
      <c r="R78" s="107"/>
      <c r="S78" s="107"/>
      <c r="T78" s="107"/>
      <c r="U78" s="107"/>
      <c r="V78" s="107"/>
      <c r="W78" s="106"/>
      <c r="X78" s="106"/>
      <c r="Y78" s="106"/>
      <c r="Z78" s="106"/>
      <c r="AA78" s="106"/>
    </row>
    <row r="79" spans="5:30" ht="15.75">
      <c r="M79" s="71" t="s">
        <v>53</v>
      </c>
      <c r="N79" s="105">
        <f>B13*10.758</f>
        <v>5379</v>
      </c>
      <c r="O79" s="107"/>
      <c r="P79" s="107"/>
      <c r="Q79" s="107"/>
      <c r="R79" s="107"/>
      <c r="S79" s="107"/>
      <c r="T79" s="107"/>
      <c r="U79" s="107"/>
      <c r="V79" s="107"/>
      <c r="W79" s="106"/>
      <c r="X79" s="106"/>
      <c r="Y79" s="106"/>
      <c r="Z79" s="106"/>
      <c r="AA79" s="106"/>
    </row>
    <row r="80" spans="5:30">
      <c r="M80" s="71" t="s">
        <v>54</v>
      </c>
      <c r="N80" s="108">
        <f>2*($B$3/PI())^0.5/$B$7</f>
        <v>5.6418958354775635</v>
      </c>
      <c r="O80" s="107"/>
      <c r="P80" s="107"/>
      <c r="Q80" s="107"/>
      <c r="R80" s="107"/>
      <c r="S80" s="107"/>
      <c r="T80" s="107"/>
      <c r="U80" s="107"/>
      <c r="V80" s="107"/>
      <c r="W80" s="106"/>
      <c r="X80" s="106"/>
      <c r="Y80" s="106"/>
      <c r="Z80" s="106"/>
      <c r="AA80" s="106"/>
    </row>
    <row r="81" spans="13:27">
      <c r="M81" s="71" t="s">
        <v>55</v>
      </c>
      <c r="N81" s="108">
        <f>2*(B3/3.14)^(0.5)</f>
        <v>39.503285358817024</v>
      </c>
      <c r="O81" s="107"/>
      <c r="P81" s="107"/>
      <c r="Q81" s="107"/>
      <c r="R81" s="107"/>
      <c r="S81" s="107"/>
      <c r="T81" s="107"/>
      <c r="U81" s="107"/>
      <c r="V81" s="107"/>
      <c r="W81" s="106"/>
      <c r="X81" s="106"/>
      <c r="Y81" s="106"/>
      <c r="Z81" s="106"/>
      <c r="AA81" s="106"/>
    </row>
    <row r="82" spans="13:27">
      <c r="M82" s="71" t="s">
        <v>87</v>
      </c>
      <c r="N82" s="108">
        <f>0.01*$N$43*(6.1+0.63*$N$43)^0.5</f>
        <v>0.13347348144481735</v>
      </c>
      <c r="O82" s="107"/>
      <c r="P82" s="107"/>
      <c r="Q82" s="107"/>
      <c r="R82" s="107"/>
      <c r="S82" s="107"/>
      <c r="T82" s="107"/>
      <c r="U82" s="107"/>
      <c r="V82" s="107"/>
      <c r="W82" s="106"/>
      <c r="X82" s="106"/>
      <c r="Y82" s="106"/>
      <c r="Z82" s="106"/>
      <c r="AA82" s="106"/>
    </row>
    <row r="83" spans="13:27" ht="14.25">
      <c r="M83" s="71" t="s">
        <v>165</v>
      </c>
      <c r="N83" s="71">
        <f>IF(ABS(B12=0),1463,IF(ABS(B15=0),1463,B15))</f>
        <v>15000</v>
      </c>
      <c r="O83" s="106"/>
      <c r="P83" s="106"/>
      <c r="Q83" s="106"/>
      <c r="R83" s="106"/>
      <c r="S83" s="106"/>
      <c r="T83" s="106"/>
      <c r="U83" s="106"/>
      <c r="V83" s="106"/>
      <c r="W83" s="106"/>
      <c r="X83" s="106"/>
      <c r="Y83" s="106"/>
      <c r="Z83" s="106"/>
      <c r="AA83" s="106"/>
    </row>
    <row r="84" spans="13:27">
      <c r="M84" s="71" t="s">
        <v>274</v>
      </c>
      <c r="N84" s="108">
        <f>IF((0.02*B10*B3*B7/3600)/(B14*B6)&gt;1,1,(0.02*B10*B3*B7/3600)/(B14*B6))</f>
        <v>0.57166666666666666</v>
      </c>
      <c r="O84" s="106"/>
      <c r="P84" s="106"/>
      <c r="Q84" s="106"/>
      <c r="R84" s="106"/>
      <c r="S84" s="106"/>
      <c r="T84" s="106"/>
      <c r="U84" s="106"/>
      <c r="V84" s="106"/>
      <c r="W84" s="106"/>
      <c r="X84" s="106"/>
      <c r="Y84" s="106"/>
      <c r="Z84" s="106"/>
      <c r="AA84" s="106"/>
    </row>
    <row r="87" spans="13:27">
      <c r="M87" s="292" t="s">
        <v>159</v>
      </c>
      <c r="N87" s="292"/>
      <c r="O87" s="292"/>
      <c r="P87" s="292"/>
      <c r="Q87" s="292"/>
      <c r="R87" s="292"/>
      <c r="S87" s="292"/>
      <c r="T87" s="292"/>
      <c r="U87" s="147"/>
      <c r="V87" s="147"/>
      <c r="W87" s="147"/>
    </row>
    <row r="88" spans="13:27" ht="38.25">
      <c r="M88" s="128" t="s">
        <v>153</v>
      </c>
      <c r="N88" s="143" t="s">
        <v>155</v>
      </c>
      <c r="O88" s="129" t="s">
        <v>156</v>
      </c>
      <c r="P88" s="129" t="s">
        <v>157</v>
      </c>
      <c r="Q88" s="144" t="s">
        <v>175</v>
      </c>
      <c r="R88" s="144" t="s">
        <v>177</v>
      </c>
      <c r="S88" s="148" t="s">
        <v>158</v>
      </c>
      <c r="T88" s="148" t="s">
        <v>154</v>
      </c>
      <c r="U88" s="149" t="s">
        <v>178</v>
      </c>
      <c r="V88" s="149" t="s">
        <v>176</v>
      </c>
      <c r="W88" s="150" t="s">
        <v>180</v>
      </c>
    </row>
    <row r="89" spans="13:27">
      <c r="M89" s="60" t="s">
        <v>17</v>
      </c>
      <c r="N89" s="72">
        <f t="shared" ref="N89:N110" si="9">$B$6*B19</f>
        <v>1</v>
      </c>
      <c r="O89" s="127">
        <f t="shared" ref="O89:O114" si="10">M3*($B$6-$B$12)</f>
        <v>0.38532245035754015</v>
      </c>
      <c r="P89" s="127">
        <f>K3</f>
        <v>5.67695419062855E-3</v>
      </c>
      <c r="Q89" s="127">
        <f>IF($B$12&gt;0,$B$12*$B$15,$B$14*$F$16*$N$84)*M3*AA47</f>
        <v>1.977821086943951E-5</v>
      </c>
      <c r="R89" s="127">
        <f>($B$3*$B$7)*(IF(ABS('Chemical Properties'!I41)&gt;0,'Chemical Properties'!I41,'Chemical Properties'!I4))*$B$10*M3/(IF(ABS('Chemical Properties'!J41)&gt;0,'Chemical Properties'!J41,'Chemical Properties'!J4)+M3)</f>
        <v>0.60898081724097008</v>
      </c>
      <c r="S89" s="130">
        <f t="shared" ref="S89:S110" si="11">O89/N89*100</f>
        <v>38.532245035754016</v>
      </c>
      <c r="T89" s="130">
        <f t="shared" ref="T89:T110" si="12">P89/N89*100</f>
        <v>0.56769541906285503</v>
      </c>
      <c r="U89" s="130">
        <f t="shared" ref="U89:U110" si="13">R89/N89*100</f>
        <v>60.898081724097011</v>
      </c>
      <c r="V89" s="142">
        <f t="shared" ref="V89:V110" si="14">Q89/N89*100</f>
        <v>1.977821086943951E-3</v>
      </c>
      <c r="W89" s="130">
        <f>(O89+P89+Q89+R89)/N89*100</f>
        <v>100.00000000000082</v>
      </c>
    </row>
    <row r="90" spans="13:27">
      <c r="M90" s="62" t="s">
        <v>6</v>
      </c>
      <c r="N90" s="72">
        <f t="shared" si="9"/>
        <v>1</v>
      </c>
      <c r="O90" s="127">
        <f t="shared" si="10"/>
        <v>5.8523194410587648E-2</v>
      </c>
      <c r="P90" s="127">
        <f t="shared" ref="P90:P110" si="15">K4</f>
        <v>0.29197199513472583</v>
      </c>
      <c r="Q90" s="127">
        <f t="shared" ref="Q90:Q114" si="16">IF($B$12&gt;0,$B$12*$B$15,$B$14*$F$16*$N$84)*M4*AA48</f>
        <v>2.0782161382297271E-3</v>
      </c>
      <c r="R90" s="127">
        <f>($B$3*$B$7)*(IF(ABS('Chemical Properties'!I42)&gt;0,'Chemical Properties'!I42,'Chemical Properties'!I5))*$B$10*M4/(IF(ABS('Chemical Properties'!J42)&gt;0,'Chemical Properties'!J42,'Chemical Properties'!J5)+M4)</f>
        <v>0.64742659431647664</v>
      </c>
      <c r="S90" s="130">
        <f t="shared" si="11"/>
        <v>5.8523194410587651</v>
      </c>
      <c r="T90" s="130">
        <f t="shared" si="12"/>
        <v>29.197199513472583</v>
      </c>
      <c r="U90" s="130">
        <f t="shared" si="13"/>
        <v>64.742659431647667</v>
      </c>
      <c r="V90" s="142">
        <f t="shared" si="14"/>
        <v>0.20782161382297271</v>
      </c>
      <c r="W90" s="130">
        <f t="shared" ref="W90:W110" si="17">(O90+P90+Q90+R90)/N90*100</f>
        <v>100.00000000000198</v>
      </c>
    </row>
    <row r="91" spans="13:27">
      <c r="M91" s="62" t="s">
        <v>13</v>
      </c>
      <c r="N91" s="72">
        <f t="shared" si="9"/>
        <v>1</v>
      </c>
      <c r="O91" s="127">
        <f t="shared" si="10"/>
        <v>6.4252202025337934E-2</v>
      </c>
      <c r="P91" s="127">
        <f t="shared" si="15"/>
        <v>0.48008293443072192</v>
      </c>
      <c r="Q91" s="127">
        <f t="shared" si="16"/>
        <v>1.6914170563026179E-3</v>
      </c>
      <c r="R91" s="127">
        <f>($B$3*$B$7)*(IF(ABS('Chemical Properties'!I43)&gt;0,'Chemical Properties'!I43,'Chemical Properties'!I6))*$B$10*M5/(IF(ABS('Chemical Properties'!J43)&gt;0,'Chemical Properties'!J43,'Chemical Properties'!J6)+M5)</f>
        <v>0.45397344648762905</v>
      </c>
      <c r="S91" s="130">
        <f t="shared" si="11"/>
        <v>6.4252202025337937</v>
      </c>
      <c r="T91" s="130">
        <f t="shared" si="12"/>
        <v>48.008293443072191</v>
      </c>
      <c r="U91" s="130">
        <f t="shared" si="13"/>
        <v>45.397344648762903</v>
      </c>
      <c r="V91" s="142">
        <f t="shared" si="14"/>
        <v>0.16914170563026179</v>
      </c>
      <c r="W91" s="130">
        <f t="shared" si="17"/>
        <v>99.999999999999147</v>
      </c>
    </row>
    <row r="92" spans="13:27">
      <c r="M92" s="60" t="s">
        <v>69</v>
      </c>
      <c r="N92" s="72">
        <f t="shared" si="9"/>
        <v>1</v>
      </c>
      <c r="O92" s="127">
        <f t="shared" si="10"/>
        <v>0.37761600998242545</v>
      </c>
      <c r="P92" s="127">
        <f t="shared" si="15"/>
        <v>4.6700533495052016E-2</v>
      </c>
      <c r="Q92" s="127">
        <f t="shared" si="16"/>
        <v>1.8941444182006583E-4</v>
      </c>
      <c r="R92" s="127">
        <f>($B$3*$B$7)*(IF(ABS('Chemical Properties'!I44)&gt;0,'Chemical Properties'!I44,'Chemical Properties'!I7))*$B$10*M6/(IF(ABS('Chemical Properties'!J44)&gt;0,'Chemical Properties'!J44,'Chemical Properties'!J7)+M6)</f>
        <v>0.57549404208070265</v>
      </c>
      <c r="S92" s="130">
        <f t="shared" si="11"/>
        <v>37.761600998242542</v>
      </c>
      <c r="T92" s="130">
        <f t="shared" si="12"/>
        <v>4.6700533495052019</v>
      </c>
      <c r="U92" s="130">
        <f t="shared" si="13"/>
        <v>57.549404208070264</v>
      </c>
      <c r="V92" s="142">
        <f t="shared" si="14"/>
        <v>1.8941444182006582E-2</v>
      </c>
      <c r="W92" s="130">
        <f t="shared" si="17"/>
        <v>100.00000000000003</v>
      </c>
    </row>
    <row r="93" spans="13:27">
      <c r="M93" s="62" t="s">
        <v>9</v>
      </c>
      <c r="N93" s="72">
        <f t="shared" si="9"/>
        <v>1</v>
      </c>
      <c r="O93" s="127">
        <f t="shared" si="10"/>
        <v>9.6843365309598292E-2</v>
      </c>
      <c r="P93" s="127">
        <f t="shared" si="15"/>
        <v>7.7778836697685885E-2</v>
      </c>
      <c r="Q93" s="127">
        <f t="shared" si="16"/>
        <v>5.8402651176707183E-2</v>
      </c>
      <c r="R93" s="127">
        <f>($B$3*$B$7)*(IF(ABS('Chemical Properties'!I45)&gt;0,'Chemical Properties'!I45,'Chemical Properties'!I8))*$B$10*M7/(IF(ABS('Chemical Properties'!J45)&gt;0,'Chemical Properties'!J45,'Chemical Properties'!J8)+M7)</f>
        <v>0.76697514681603252</v>
      </c>
      <c r="S93" s="130">
        <f t="shared" si="11"/>
        <v>9.684336530959829</v>
      </c>
      <c r="T93" s="130">
        <f t="shared" si="12"/>
        <v>7.7778836697685882</v>
      </c>
      <c r="U93" s="130">
        <f t="shared" si="13"/>
        <v>76.697514681603252</v>
      </c>
      <c r="V93" s="142">
        <f t="shared" si="14"/>
        <v>5.8402651176707181</v>
      </c>
      <c r="W93" s="130">
        <f t="shared" si="17"/>
        <v>100.0000000000024</v>
      </c>
    </row>
    <row r="94" spans="13:27">
      <c r="M94" s="63" t="s">
        <v>7</v>
      </c>
      <c r="N94" s="72">
        <f t="shared" si="9"/>
        <v>1</v>
      </c>
      <c r="O94" s="127">
        <f t="shared" si="10"/>
        <v>3.27206804215305E-2</v>
      </c>
      <c r="P94" s="127">
        <f t="shared" si="15"/>
        <v>0.18869327171652264</v>
      </c>
      <c r="Q94" s="127">
        <f t="shared" si="16"/>
        <v>3.2748017641549089E-2</v>
      </c>
      <c r="R94" s="127">
        <f>($B$3*$B$7)*(IF(ABS('Chemical Properties'!I46)&gt;0,'Chemical Properties'!I46,'Chemical Properties'!I9))*$B$10*M8/(IF(ABS('Chemical Properties'!J46)&gt;0,'Chemical Properties'!J46,'Chemical Properties'!J9)+M8)</f>
        <v>0.74583803022038742</v>
      </c>
      <c r="S94" s="130">
        <f t="shared" si="11"/>
        <v>3.2720680421530499</v>
      </c>
      <c r="T94" s="130">
        <f t="shared" si="12"/>
        <v>18.869327171652266</v>
      </c>
      <c r="U94" s="130">
        <f t="shared" si="13"/>
        <v>74.583803022038737</v>
      </c>
      <c r="V94" s="142">
        <f t="shared" si="14"/>
        <v>3.2748017641549088</v>
      </c>
      <c r="W94" s="130">
        <f t="shared" si="17"/>
        <v>99.999999999998963</v>
      </c>
    </row>
    <row r="95" spans="13:27">
      <c r="M95" s="62" t="s">
        <v>8</v>
      </c>
      <c r="N95" s="72">
        <f t="shared" si="9"/>
        <v>1</v>
      </c>
      <c r="O95" s="127">
        <f t="shared" si="10"/>
        <v>4.3721904686171459E-2</v>
      </c>
      <c r="P95" s="127">
        <f t="shared" si="15"/>
        <v>0.2221636118104581</v>
      </c>
      <c r="Q95" s="127">
        <f t="shared" si="16"/>
        <v>1.5887726778311375E-2</v>
      </c>
      <c r="R95" s="127">
        <f>($B$3*$B$7)*(IF(ABS('Chemical Properties'!I47)&gt;0,'Chemical Properties'!I47,'Chemical Properties'!I10))*$B$10*M9/(IF(ABS('Chemical Properties'!J47)&gt;0,'Chemical Properties'!J47,'Chemical Properties'!J10)+M9)</f>
        <v>0.71822675672506686</v>
      </c>
      <c r="S95" s="130">
        <f t="shared" si="11"/>
        <v>4.3721904686171458</v>
      </c>
      <c r="T95" s="130">
        <f t="shared" si="12"/>
        <v>22.216361181045809</v>
      </c>
      <c r="U95" s="130">
        <f t="shared" si="13"/>
        <v>71.822675672506691</v>
      </c>
      <c r="V95" s="142">
        <f t="shared" si="14"/>
        <v>1.5887726778311375</v>
      </c>
      <c r="W95" s="130">
        <f t="shared" si="17"/>
        <v>100.00000000000078</v>
      </c>
    </row>
    <row r="96" spans="13:27">
      <c r="M96" s="62" t="s">
        <v>11</v>
      </c>
      <c r="N96" s="72">
        <f t="shared" si="9"/>
        <v>1</v>
      </c>
      <c r="O96" s="127">
        <f t="shared" si="10"/>
        <v>0.18860379371646607</v>
      </c>
      <c r="P96" s="127">
        <f t="shared" si="15"/>
        <v>0.60355276721026119</v>
      </c>
      <c r="Q96" s="127">
        <f t="shared" si="16"/>
        <v>4.324273096371227E-2</v>
      </c>
      <c r="R96" s="127">
        <f>($B$3*$B$7)*(IF(ABS('Chemical Properties'!I48)&gt;0,'Chemical Properties'!I48,'Chemical Properties'!I11))*$B$10*M10/(IF(ABS('Chemical Properties'!J48)&gt;0,'Chemical Properties'!J48,'Chemical Properties'!J11)+M10)</f>
        <v>0.1646007081094838</v>
      </c>
      <c r="S96" s="130">
        <f t="shared" si="11"/>
        <v>18.860379371646609</v>
      </c>
      <c r="T96" s="130">
        <f t="shared" si="12"/>
        <v>60.355276721026115</v>
      </c>
      <c r="U96" s="130">
        <f t="shared" si="13"/>
        <v>16.46007081094838</v>
      </c>
      <c r="V96" s="142">
        <f t="shared" si="14"/>
        <v>4.3242730963712273</v>
      </c>
      <c r="W96" s="130">
        <f t="shared" si="17"/>
        <v>99.999999999992326</v>
      </c>
    </row>
    <row r="97" spans="13:23">
      <c r="M97" s="63" t="s">
        <v>70</v>
      </c>
      <c r="N97" s="72">
        <f t="shared" si="9"/>
        <v>1</v>
      </c>
      <c r="O97" s="127">
        <f t="shared" si="10"/>
        <v>6.7166664680079924E-2</v>
      </c>
      <c r="P97" s="127">
        <f t="shared" si="15"/>
        <v>0.56224867176529603</v>
      </c>
      <c r="Q97" s="127">
        <f t="shared" si="16"/>
        <v>1.7278915166659878E-3</v>
      </c>
      <c r="R97" s="127">
        <f>($B$3*$B$7)*(IF(ABS('Chemical Properties'!I49)&gt;0,'Chemical Properties'!I49,'Chemical Properties'!I12))*$B$10*M11/(IF(ABS('Chemical Properties'!J49)&gt;0,'Chemical Properties'!J49,'Chemical Properties'!J12)+M11)</f>
        <v>0.36885677203794626</v>
      </c>
      <c r="S97" s="130">
        <f t="shared" si="11"/>
        <v>6.7166664680079924</v>
      </c>
      <c r="T97" s="130">
        <f t="shared" si="12"/>
        <v>56.2248671765296</v>
      </c>
      <c r="U97" s="130">
        <f t="shared" si="13"/>
        <v>36.885677203794629</v>
      </c>
      <c r="V97" s="142">
        <f t="shared" si="14"/>
        <v>0.17278915166659878</v>
      </c>
      <c r="W97" s="130">
        <f t="shared" si="17"/>
        <v>99.99999999999882</v>
      </c>
    </row>
    <row r="98" spans="13:23">
      <c r="M98" s="63" t="s">
        <v>16</v>
      </c>
      <c r="N98" s="72">
        <f t="shared" si="9"/>
        <v>1</v>
      </c>
      <c r="O98" s="127">
        <f t="shared" si="10"/>
        <v>0.67571323509428605</v>
      </c>
      <c r="P98" s="127">
        <f t="shared" si="15"/>
        <v>4.0560678360765911E-6</v>
      </c>
      <c r="Q98" s="127">
        <f t="shared" si="16"/>
        <v>1.6222773884508234E-6</v>
      </c>
      <c r="R98" s="127">
        <f>($B$3*$B$7)*(IF(ABS('Chemical Properties'!I50)&gt;0,'Chemical Properties'!I50,'Chemical Properties'!I13))*$B$10*M12/(IF(ABS('Chemical Properties'!J50)&gt;0,'Chemical Properties'!J50,'Chemical Properties'!J13)+M12)</f>
        <v>0.32428108656048993</v>
      </c>
      <c r="S98" s="130">
        <f t="shared" si="11"/>
        <v>67.571323509428609</v>
      </c>
      <c r="T98" s="130">
        <f t="shared" si="12"/>
        <v>4.056067836076591E-4</v>
      </c>
      <c r="U98" s="130">
        <f t="shared" si="13"/>
        <v>32.428108656048991</v>
      </c>
      <c r="V98" s="142">
        <f t="shared" si="14"/>
        <v>1.6222773884508234E-4</v>
      </c>
      <c r="W98" s="130">
        <f t="shared" si="17"/>
        <v>100.00000000000004</v>
      </c>
    </row>
    <row r="99" spans="13:23">
      <c r="M99" s="60" t="s">
        <v>71</v>
      </c>
      <c r="N99" s="72">
        <f t="shared" si="9"/>
        <v>1</v>
      </c>
      <c r="O99" s="127">
        <f t="shared" si="10"/>
        <v>0.22764524059414284</v>
      </c>
      <c r="P99" s="127">
        <f t="shared" si="15"/>
        <v>6.4349706920160565E-2</v>
      </c>
      <c r="Q99" s="127">
        <f t="shared" si="16"/>
        <v>9.2815661529717223E-4</v>
      </c>
      <c r="R99" s="127">
        <f>($B$3*$B$7)*(IF(ABS('Chemical Properties'!I51)&gt;0,'Chemical Properties'!I51,'Chemical Properties'!I14))*$B$10*M13/(IF(ABS('Chemical Properties'!J51)&gt;0,'Chemical Properties'!J51,'Chemical Properties'!J14)+M13)</f>
        <v>0.70707689587039946</v>
      </c>
      <c r="S99" s="130">
        <f t="shared" si="11"/>
        <v>22.764524059414285</v>
      </c>
      <c r="T99" s="130">
        <f t="shared" si="12"/>
        <v>6.4349706920160568</v>
      </c>
      <c r="U99" s="130">
        <f t="shared" si="13"/>
        <v>70.707689587039951</v>
      </c>
      <c r="V99" s="142">
        <f t="shared" si="14"/>
        <v>9.2815661529717222E-2</v>
      </c>
      <c r="W99" s="130">
        <f t="shared" si="17"/>
        <v>100</v>
      </c>
    </row>
    <row r="100" spans="13:23">
      <c r="M100" s="62" t="s">
        <v>12</v>
      </c>
      <c r="N100" s="72">
        <f t="shared" si="9"/>
        <v>1</v>
      </c>
      <c r="O100" s="127">
        <f t="shared" si="10"/>
        <v>3.9578102419263038E-2</v>
      </c>
      <c r="P100" s="127">
        <f t="shared" si="15"/>
        <v>0.20146194933766662</v>
      </c>
      <c r="Q100" s="127">
        <f t="shared" si="16"/>
        <v>5.8589212074156849E-3</v>
      </c>
      <c r="R100" s="127">
        <f>($B$3*$B$7)*(IF(ABS('Chemical Properties'!I52)&gt;0,'Chemical Properties'!I52,'Chemical Properties'!I15))*$B$10*M14/(IF(ABS('Chemical Properties'!J52)&gt;0,'Chemical Properties'!J52,'Chemical Properties'!J15)+M14)</f>
        <v>0.7531010270356191</v>
      </c>
      <c r="S100" s="130">
        <f t="shared" si="11"/>
        <v>3.9578102419263037</v>
      </c>
      <c r="T100" s="130">
        <f t="shared" si="12"/>
        <v>20.146194933766662</v>
      </c>
      <c r="U100" s="130">
        <f t="shared" si="13"/>
        <v>75.31010270356191</v>
      </c>
      <c r="V100" s="142">
        <f t="shared" si="14"/>
        <v>0.58589212074156849</v>
      </c>
      <c r="W100" s="130">
        <f t="shared" si="17"/>
        <v>99.999999999996447</v>
      </c>
    </row>
    <row r="101" spans="13:23">
      <c r="M101" s="62" t="s">
        <v>10</v>
      </c>
      <c r="N101" s="72">
        <f t="shared" si="9"/>
        <v>1</v>
      </c>
      <c r="O101" s="127">
        <f t="shared" si="10"/>
        <v>9.6080831168896177E-3</v>
      </c>
      <c r="P101" s="127">
        <f t="shared" si="15"/>
        <v>9.2122872542941724E-6</v>
      </c>
      <c r="Q101" s="127">
        <f t="shared" si="16"/>
        <v>7.6383480017816108E-5</v>
      </c>
      <c r="R101" s="127">
        <f>($B$3*$B$7)*(IF(ABS('Chemical Properties'!I53)&gt;0,'Chemical Properties'!I53,'Chemical Properties'!I16))*$B$10*M15/(IF(ABS('Chemical Properties'!J53)&gt;0,'Chemical Properties'!J53,'Chemical Properties'!J16)+M15)</f>
        <v>0.99030632111710004</v>
      </c>
      <c r="S101" s="130">
        <f t="shared" si="11"/>
        <v>0.96080831168896175</v>
      </c>
      <c r="T101" s="130">
        <f t="shared" si="12"/>
        <v>9.2122872542941723E-4</v>
      </c>
      <c r="U101" s="130">
        <f t="shared" si="13"/>
        <v>99.030632111710005</v>
      </c>
      <c r="V101" s="142">
        <f t="shared" si="14"/>
        <v>7.638348001781611E-3</v>
      </c>
      <c r="W101" s="130">
        <f t="shared" si="17"/>
        <v>100.00000000012619</v>
      </c>
    </row>
    <row r="102" spans="13:23">
      <c r="M102" s="63" t="s">
        <v>72</v>
      </c>
      <c r="N102" s="72">
        <f t="shared" si="9"/>
        <v>1</v>
      </c>
      <c r="O102" s="127">
        <f t="shared" si="10"/>
        <v>4.4587095857216597E-2</v>
      </c>
      <c r="P102" s="127">
        <f t="shared" si="15"/>
        <v>0.32067415613583528</v>
      </c>
      <c r="Q102" s="127">
        <f t="shared" si="16"/>
        <v>0.11737399193595852</v>
      </c>
      <c r="R102" s="127">
        <f>($B$3*$B$7)*(IF(ABS('Chemical Properties'!I54)&gt;0,'Chemical Properties'!I54,'Chemical Properties'!I17))*$B$10*M16/(IF(ABS('Chemical Properties'!J54)&gt;0,'Chemical Properties'!J54,'Chemical Properties'!J17)+M16)</f>
        <v>0.51736475607098842</v>
      </c>
      <c r="S102" s="130">
        <f t="shared" si="11"/>
        <v>4.4587095857216594</v>
      </c>
      <c r="T102" s="130">
        <f t="shared" si="12"/>
        <v>32.067415613583528</v>
      </c>
      <c r="U102" s="130">
        <f t="shared" si="13"/>
        <v>51.736475607098839</v>
      </c>
      <c r="V102" s="142">
        <f t="shared" si="14"/>
        <v>11.737399193595852</v>
      </c>
      <c r="W102" s="130">
        <f t="shared" si="17"/>
        <v>99.999999999999872</v>
      </c>
    </row>
    <row r="103" spans="13:23">
      <c r="M103" s="63" t="s">
        <v>73</v>
      </c>
      <c r="N103" s="72">
        <f t="shared" si="9"/>
        <v>1</v>
      </c>
      <c r="O103" s="127">
        <f t="shared" si="10"/>
        <v>7.3983357444693809E-3</v>
      </c>
      <c r="P103" s="127">
        <f t="shared" si="15"/>
        <v>2.6452531446324841E-5</v>
      </c>
      <c r="Q103" s="127">
        <f t="shared" si="16"/>
        <v>1.9475863662250902E-6</v>
      </c>
      <c r="R103" s="127">
        <f>($B$3*$B$7)*(IF(ABS('Chemical Properties'!I55)&gt;0,'Chemical Properties'!I55,'Chemical Properties'!I18))*$B$10*M17/(IF(ABS('Chemical Properties'!J55)&gt;0,'Chemical Properties'!J55,'Chemical Properties'!J18)+M17)</f>
        <v>0.99257326413709823</v>
      </c>
      <c r="S103" s="130">
        <f t="shared" si="11"/>
        <v>0.73983357444693809</v>
      </c>
      <c r="T103" s="130">
        <f t="shared" si="12"/>
        <v>2.6452531446324841E-3</v>
      </c>
      <c r="U103" s="130">
        <f t="shared" si="13"/>
        <v>99.257326413709819</v>
      </c>
      <c r="V103" s="142">
        <f t="shared" si="14"/>
        <v>1.9475863662250903E-4</v>
      </c>
      <c r="W103" s="130">
        <f t="shared" si="17"/>
        <v>99.999999999938012</v>
      </c>
    </row>
    <row r="104" spans="13:23">
      <c r="M104" s="64" t="s">
        <v>74</v>
      </c>
      <c r="N104" s="72">
        <f t="shared" si="9"/>
        <v>1</v>
      </c>
      <c r="O104" s="127">
        <f t="shared" si="10"/>
        <v>4.8743149498588427E-2</v>
      </c>
      <c r="P104" s="127">
        <f t="shared" si="15"/>
        <v>0.2373173940300782</v>
      </c>
      <c r="Q104" s="127">
        <f t="shared" si="16"/>
        <v>1.8979128962822337E-2</v>
      </c>
      <c r="R104" s="127">
        <f>($B$3*$B$7)*(IF(ABS('Chemical Properties'!I56)&gt;0,'Chemical Properties'!I56,'Chemical Properties'!I19))*$B$10*M18/(IF(ABS('Chemical Properties'!J56)&gt;0,'Chemical Properties'!J56,'Chemical Properties'!J19)+M18)</f>
        <v>0.6949603275085352</v>
      </c>
      <c r="S104" s="130">
        <f t="shared" si="11"/>
        <v>4.8743149498588423</v>
      </c>
      <c r="T104" s="130">
        <f t="shared" si="12"/>
        <v>23.731739403007822</v>
      </c>
      <c r="U104" s="130">
        <f t="shared" si="13"/>
        <v>69.496032750853516</v>
      </c>
      <c r="V104" s="142">
        <f t="shared" si="14"/>
        <v>1.8979128962822338</v>
      </c>
      <c r="W104" s="130">
        <f t="shared" si="17"/>
        <v>100.00000000000242</v>
      </c>
    </row>
    <row r="105" spans="13:23">
      <c r="M105" s="63" t="s">
        <v>75</v>
      </c>
      <c r="N105" s="72">
        <f t="shared" si="9"/>
        <v>1</v>
      </c>
      <c r="O105" s="127">
        <f t="shared" si="10"/>
        <v>0.12779240398377581</v>
      </c>
      <c r="P105" s="127">
        <f t="shared" si="15"/>
        <v>0.15054628465352526</v>
      </c>
      <c r="Q105" s="127">
        <f t="shared" si="16"/>
        <v>2.6812525928120424E-3</v>
      </c>
      <c r="R105" s="127">
        <f>($B$3*$B$7)*(IF(ABS('Chemical Properties'!I57)&gt;0,'Chemical Properties'!I57,'Chemical Properties'!I20))*$B$10*M19/(IF(ABS('Chemical Properties'!J57)&gt;0,'Chemical Properties'!J57,'Chemical Properties'!J20)+M19)</f>
        <v>0.71898005876985227</v>
      </c>
      <c r="S105" s="130">
        <f t="shared" si="11"/>
        <v>12.779240398377581</v>
      </c>
      <c r="T105" s="130">
        <f t="shared" si="12"/>
        <v>15.054628465352526</v>
      </c>
      <c r="U105" s="130">
        <f t="shared" si="13"/>
        <v>71.898005876985223</v>
      </c>
      <c r="V105" s="142">
        <f t="shared" si="14"/>
        <v>0.26812525928120423</v>
      </c>
      <c r="W105" s="130">
        <f t="shared" si="17"/>
        <v>99.999999999996533</v>
      </c>
    </row>
    <row r="106" spans="13:23">
      <c r="M106" s="64" t="s">
        <v>78</v>
      </c>
      <c r="N106" s="72">
        <f t="shared" si="9"/>
        <v>1</v>
      </c>
      <c r="O106" s="127">
        <f t="shared" si="10"/>
        <v>7.1541637886667633E-2</v>
      </c>
      <c r="P106" s="127">
        <f t="shared" si="15"/>
        <v>2.9477699803527734E-2</v>
      </c>
      <c r="Q106" s="127">
        <f t="shared" si="16"/>
        <v>0.10837311790320699</v>
      </c>
      <c r="R106" s="127">
        <f>($B$3*$B$7)*(IF(ABS('Chemical Properties'!I58)&gt;0,'Chemical Properties'!I58,'Chemical Properties'!I21))*$B$10*M20/(IF(ABS('Chemical Properties'!J58)&gt;0,'Chemical Properties'!J58,'Chemical Properties'!J21)+M20)</f>
        <v>0.79060754440659897</v>
      </c>
      <c r="S106" s="130">
        <f t="shared" si="11"/>
        <v>7.1541637886667635</v>
      </c>
      <c r="T106" s="130">
        <f t="shared" si="12"/>
        <v>2.9477699803527733</v>
      </c>
      <c r="U106" s="130">
        <f t="shared" si="13"/>
        <v>79.060754440659892</v>
      </c>
      <c r="V106" s="142">
        <f t="shared" si="14"/>
        <v>10.837311790320699</v>
      </c>
      <c r="W106" s="130">
        <f t="shared" si="17"/>
        <v>100.00000000000013</v>
      </c>
    </row>
    <row r="107" spans="13:23">
      <c r="M107" s="65" t="s">
        <v>14</v>
      </c>
      <c r="N107" s="72">
        <f t="shared" si="9"/>
        <v>1</v>
      </c>
      <c r="O107" s="127">
        <f t="shared" si="10"/>
        <v>5.8876450536800545E-2</v>
      </c>
      <c r="P107" s="127">
        <f t="shared" si="15"/>
        <v>0.52455696271382635</v>
      </c>
      <c r="Q107" s="127">
        <f t="shared" si="16"/>
        <v>9.799508849983524E-5</v>
      </c>
      <c r="R107" s="127">
        <f>($B$3*$B$7)*(IF(ABS('Chemical Properties'!I59)&gt;0,'Chemical Properties'!I59,'Chemical Properties'!I22))*$B$10*M21/(IF(ABS('Chemical Properties'!J59)&gt;0,'Chemical Properties'!J59,'Chemical Properties'!J22)+M21)</f>
        <v>0.41646859166086414</v>
      </c>
      <c r="S107" s="130">
        <f t="shared" si="11"/>
        <v>5.8876450536800542</v>
      </c>
      <c r="T107" s="130">
        <f t="shared" si="12"/>
        <v>52.455696271382635</v>
      </c>
      <c r="U107" s="130">
        <f t="shared" si="13"/>
        <v>41.646859166086415</v>
      </c>
      <c r="V107" s="142">
        <f t="shared" si="14"/>
        <v>9.7995088499835247E-3</v>
      </c>
      <c r="W107" s="130">
        <f t="shared" si="17"/>
        <v>99.999999999999091</v>
      </c>
    </row>
    <row r="108" spans="13:23">
      <c r="M108" s="65" t="s">
        <v>79</v>
      </c>
      <c r="N108" s="72">
        <f t="shared" si="9"/>
        <v>1</v>
      </c>
      <c r="O108" s="127">
        <f t="shared" si="10"/>
        <v>9.1941413072891193E-2</v>
      </c>
      <c r="P108" s="127">
        <f t="shared" si="15"/>
        <v>0.22453533860442723</v>
      </c>
      <c r="Q108" s="127">
        <f t="shared" si="16"/>
        <v>7.3092676268775064E-4</v>
      </c>
      <c r="R108" s="127">
        <f>($B$3*$B$7)*(IF(ABS('Chemical Properties'!I60)&gt;0,'Chemical Properties'!I60,'Chemical Properties'!I23))*$B$10*M22/(IF(ABS('Chemical Properties'!J60)&gt;0,'Chemical Properties'!J60,'Chemical Properties'!J23)+M22)</f>
        <v>0.68279232155999292</v>
      </c>
      <c r="S108" s="130">
        <f t="shared" si="11"/>
        <v>9.1941413072891187</v>
      </c>
      <c r="T108" s="130">
        <f t="shared" si="12"/>
        <v>22.453533860442722</v>
      </c>
      <c r="U108" s="130">
        <f t="shared" si="13"/>
        <v>68.279232155999296</v>
      </c>
      <c r="V108" s="142">
        <f t="shared" si="14"/>
        <v>7.3092676268775067E-2</v>
      </c>
      <c r="W108" s="130">
        <f t="shared" si="17"/>
        <v>99.999999999999915</v>
      </c>
    </row>
    <row r="109" spans="13:23">
      <c r="M109" s="65" t="s">
        <v>15</v>
      </c>
      <c r="N109" s="72">
        <f t="shared" si="9"/>
        <v>1</v>
      </c>
      <c r="O109" s="127">
        <f t="shared" si="10"/>
        <v>0.53586829442634976</v>
      </c>
      <c r="P109" s="127">
        <f t="shared" si="15"/>
        <v>4.6374509865961085E-8</v>
      </c>
      <c r="Q109" s="127">
        <f t="shared" si="16"/>
        <v>5.2410795495907919E-6</v>
      </c>
      <c r="R109" s="127">
        <f>($B$3*$B$7)*(IF(ABS('Chemical Properties'!I61)&gt;0,'Chemical Properties'!I61,'Chemical Properties'!I24))*$B$10*M23/(IF(ABS('Chemical Properties'!J61)&gt;0,'Chemical Properties'!J61,'Chemical Properties'!J24)+M23)</f>
        <v>0.46412641811958616</v>
      </c>
      <c r="S109" s="130">
        <f t="shared" si="11"/>
        <v>53.586829442634979</v>
      </c>
      <c r="T109" s="130">
        <f t="shared" si="12"/>
        <v>4.6374509865961087E-6</v>
      </c>
      <c r="U109" s="130">
        <f t="shared" si="13"/>
        <v>46.412641811958615</v>
      </c>
      <c r="V109" s="142">
        <f t="shared" si="14"/>
        <v>5.2410795495907915E-4</v>
      </c>
      <c r="W109" s="130">
        <f t="shared" si="17"/>
        <v>99.999999999999531</v>
      </c>
    </row>
    <row r="110" spans="13:23">
      <c r="M110" s="65" t="s">
        <v>80</v>
      </c>
      <c r="N110" s="72">
        <f t="shared" si="9"/>
        <v>1</v>
      </c>
      <c r="O110" s="127">
        <f t="shared" si="10"/>
        <v>5.0668561026881841E-3</v>
      </c>
      <c r="P110" s="127">
        <f t="shared" si="15"/>
        <v>3.4111053242047558E-2</v>
      </c>
      <c r="Q110" s="127">
        <f t="shared" si="16"/>
        <v>0.90178137247279111</v>
      </c>
      <c r="R110" s="127">
        <f>($B$3*$B$7)*(IF(ABS('Chemical Properties'!I62)&gt;0,'Chemical Properties'!I62,'Chemical Properties'!I25))*$B$10*M24/(IF(ABS('Chemical Properties'!J62)&gt;0,'Chemical Properties'!J62,'Chemical Properties'!J25)+M24)</f>
        <v>5.9040718182491299E-2</v>
      </c>
      <c r="S110" s="130">
        <f t="shared" si="11"/>
        <v>0.50668561026881842</v>
      </c>
      <c r="T110" s="130">
        <f t="shared" si="12"/>
        <v>3.411105324204756</v>
      </c>
      <c r="U110" s="130">
        <f t="shared" si="13"/>
        <v>5.9040718182491299</v>
      </c>
      <c r="V110" s="142">
        <f t="shared" si="14"/>
        <v>90.178137247279111</v>
      </c>
      <c r="W110" s="130">
        <f t="shared" si="17"/>
        <v>100.00000000000182</v>
      </c>
    </row>
    <row r="111" spans="13:23">
      <c r="M111" s="65" t="s">
        <v>59</v>
      </c>
      <c r="N111" s="72">
        <f>$B$6*B41</f>
        <v>1</v>
      </c>
      <c r="O111" s="127" t="e">
        <f t="shared" si="10"/>
        <v>#DIV/0!</v>
      </c>
      <c r="P111" s="127" t="e">
        <f>K25</f>
        <v>#DIV/0!</v>
      </c>
      <c r="Q111" s="127" t="e">
        <f t="shared" si="16"/>
        <v>#DIV/0!</v>
      </c>
      <c r="R111" s="127" t="e">
        <f>($B$3*$B$7)*(IF(ABS('Chemical Properties'!I63)&gt;0,'Chemical Properties'!I63,'Chemical Properties'!I26))*$B$10*M25/(IF(ABS('Chemical Properties'!J63)&gt;0,'Chemical Properties'!J63,'Chemical Properties'!J26)+M25)</f>
        <v>#DIV/0!</v>
      </c>
      <c r="S111" s="130" t="e">
        <f>O111/N111*100</f>
        <v>#DIV/0!</v>
      </c>
      <c r="T111" s="130" t="e">
        <f>P111/N111*100</f>
        <v>#DIV/0!</v>
      </c>
      <c r="U111" s="130" t="e">
        <f>R111/N111*100</f>
        <v>#DIV/0!</v>
      </c>
      <c r="V111" s="142" t="e">
        <f>Q111/N111*100</f>
        <v>#DIV/0!</v>
      </c>
      <c r="W111" s="130" t="e">
        <f>(O111+P111+Q111+R111)/N111*100</f>
        <v>#DIV/0!</v>
      </c>
    </row>
    <row r="112" spans="13:23">
      <c r="M112" s="81" t="s">
        <v>60</v>
      </c>
      <c r="N112" s="72">
        <f>$B$6*B42</f>
        <v>1</v>
      </c>
      <c r="O112" s="127" t="e">
        <f t="shared" si="10"/>
        <v>#DIV/0!</v>
      </c>
      <c r="P112" s="127" t="e">
        <f>K26</f>
        <v>#DIV/0!</v>
      </c>
      <c r="Q112" s="127" t="e">
        <f t="shared" si="16"/>
        <v>#DIV/0!</v>
      </c>
      <c r="R112" s="127" t="e">
        <f>($B$3*$B$7)*(IF(ABS('Chemical Properties'!I64)&gt;0,'Chemical Properties'!I64,'Chemical Properties'!I27))*$B$10*M26/(IF(ABS('Chemical Properties'!J64)&gt;0,'Chemical Properties'!J64,'Chemical Properties'!J27)+M26)</f>
        <v>#DIV/0!</v>
      </c>
      <c r="S112" s="130" t="e">
        <f>O112/N112*100</f>
        <v>#DIV/0!</v>
      </c>
      <c r="T112" s="130" t="e">
        <f>P112/N112*100</f>
        <v>#DIV/0!</v>
      </c>
      <c r="U112" s="130" t="e">
        <f>R112/N112*100</f>
        <v>#DIV/0!</v>
      </c>
      <c r="V112" s="142" t="e">
        <f>Q112/N112*100</f>
        <v>#DIV/0!</v>
      </c>
      <c r="W112" s="130" t="e">
        <f>(O112+P112+Q112+R112)/N112*100</f>
        <v>#DIV/0!</v>
      </c>
    </row>
    <row r="113" spans="13:23">
      <c r="M113" s="65" t="s">
        <v>61</v>
      </c>
      <c r="N113" s="72">
        <f>$B$6*B43</f>
        <v>1</v>
      </c>
      <c r="O113" s="127" t="e">
        <f t="shared" si="10"/>
        <v>#DIV/0!</v>
      </c>
      <c r="P113" s="127" t="e">
        <f>K27</f>
        <v>#DIV/0!</v>
      </c>
      <c r="Q113" s="127" t="e">
        <f t="shared" si="16"/>
        <v>#DIV/0!</v>
      </c>
      <c r="R113" s="127" t="e">
        <f>($B$3*$B$7)*(IF(ABS('Chemical Properties'!I65)&gt;0,'Chemical Properties'!I65,'Chemical Properties'!I28))*$B$10*M27/(IF(ABS('Chemical Properties'!J65)&gt;0,'Chemical Properties'!J65,'Chemical Properties'!J28)+M27)</f>
        <v>#DIV/0!</v>
      </c>
      <c r="S113" s="130" t="e">
        <f>O113/N113*100</f>
        <v>#DIV/0!</v>
      </c>
      <c r="T113" s="130" t="e">
        <f>P113/N113*100</f>
        <v>#DIV/0!</v>
      </c>
      <c r="U113" s="130" t="e">
        <f>R113/N113*100</f>
        <v>#DIV/0!</v>
      </c>
      <c r="V113" s="142" t="e">
        <f>Q113/N113*100</f>
        <v>#DIV/0!</v>
      </c>
      <c r="W113" s="130" t="e">
        <f>(O113+P113+Q113+R113)/N113*100</f>
        <v>#DIV/0!</v>
      </c>
    </row>
    <row r="114" spans="13:23">
      <c r="M114" s="65" t="s">
        <v>256</v>
      </c>
      <c r="N114" s="72">
        <f>$B$6*B44</f>
        <v>1</v>
      </c>
      <c r="O114" s="127">
        <f t="shared" si="10"/>
        <v>4.7171739437922619E-2</v>
      </c>
      <c r="P114" s="127">
        <f>K28</f>
        <v>0.39598351116153169</v>
      </c>
      <c r="Q114" s="127">
        <f t="shared" si="16"/>
        <v>9.6392796604394017E-3</v>
      </c>
      <c r="R114" s="127">
        <f>($B$3*$B$7)*(IF(ABS('Chemical Properties'!I66)&gt;0,'Chemical Properties'!I66,'Chemical Properties'!I29))*$B$10*M28/(IF(ABS('Chemical Properties'!J66)&gt;0,'Chemical Properties'!J66,'Chemical Properties'!J29)+M28)</f>
        <v>0.54720546974011752</v>
      </c>
      <c r="S114" s="130">
        <f>O114/N114*100</f>
        <v>4.717173943792262</v>
      </c>
      <c r="T114" s="130">
        <f>P114/N114*100</f>
        <v>39.598351116153168</v>
      </c>
      <c r="U114" s="130">
        <f>R114/N114*100</f>
        <v>54.720546974011754</v>
      </c>
      <c r="V114" s="142">
        <f>Q114/N114*100</f>
        <v>0.96392796604394015</v>
      </c>
      <c r="W114" s="130">
        <f>(O114+P114+Q114+R114)/N114*100</f>
        <v>100.00000000000114</v>
      </c>
    </row>
    <row r="116" spans="13:23">
      <c r="M116" s="91"/>
      <c r="N116" s="223"/>
      <c r="O116" s="255"/>
      <c r="P116" s="255"/>
      <c r="Q116" s="255"/>
      <c r="R116" s="255"/>
      <c r="S116" s="256"/>
      <c r="T116" s="256"/>
      <c r="U116" s="256"/>
      <c r="V116" s="260"/>
      <c r="W116" s="256"/>
    </row>
  </sheetData>
  <mergeCells count="5">
    <mergeCell ref="A18:C18"/>
    <mergeCell ref="I46:K46"/>
    <mergeCell ref="A1:E1"/>
    <mergeCell ref="E49:G49"/>
    <mergeCell ref="M87:T87"/>
  </mergeCells>
  <phoneticPr fontId="5" type="noConversion"/>
  <pageMargins left="0.75" right="0.75" top="1" bottom="1" header="0.5" footer="0.5"/>
  <pageSetup scale="1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Introduction</vt:lpstr>
      <vt:lpstr>POTW Discharge</vt:lpstr>
      <vt:lpstr>Wastewater Collection System</vt:lpstr>
      <vt:lpstr>Weir</vt:lpstr>
      <vt:lpstr>Oil-Water Separators</vt:lpstr>
      <vt:lpstr>DAF</vt:lpstr>
      <vt:lpstr>EQ Tanks</vt:lpstr>
      <vt:lpstr>Bio. Diff. Aer. Act. Sldg.</vt:lpstr>
      <vt:lpstr>Bio. Mech. Aer. Act. Sldg.</vt:lpstr>
      <vt:lpstr>Quiescent Unit</vt:lpstr>
      <vt:lpstr>Chemical Properties</vt:lpstr>
      <vt:lpstr>minWindSpd</vt:lpstr>
      <vt:lpstr>DAF!Print_Area</vt:lpstr>
    </vt:vector>
  </TitlesOfParts>
  <Company>RTI, International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jcunningham</dc:creator>
  <cp:lastModifiedBy>Jeff Coburn</cp:lastModifiedBy>
  <cp:lastPrinted>2010-09-30T16:28:47Z</cp:lastPrinted>
  <dcterms:created xsi:type="dcterms:W3CDTF">2009-09-23T12:53:19Z</dcterms:created>
  <dcterms:modified xsi:type="dcterms:W3CDTF">2011-03-23T18:43:43Z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-1986285449</vt:i4>
  </property>
  <property fmtid="{D5CDD505-2E9C-101B-9397-08002B2CF9AE}" pid="3" name="_NewReviewCycle">
    <vt:lpwstr/>
  </property>
  <property fmtid="{D5CDD505-2E9C-101B-9397-08002B2CF9AE}" pid="4" name="_EmailSubject">
    <vt:lpwstr>Upload into ROCIS -- NSPS and NESHAP for Petroleum Refineries Sector Residual Risk and Technology Review (New Collection) </vt:lpwstr>
  </property>
  <property fmtid="{D5CDD505-2E9C-101B-9397-08002B2CF9AE}" pid="5" name="_AuthorEmail">
    <vt:lpwstr>Cortney_Higgins@omb.eop.gov</vt:lpwstr>
  </property>
  <property fmtid="{D5CDD505-2E9C-101B-9397-08002B2CF9AE}" pid="6" name="_AuthorEmailDisplayName">
    <vt:lpwstr>Higgins, Cortney</vt:lpwstr>
  </property>
</Properties>
</file>